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steff\Documents\invest\Systematic Property\Finanzierungsangebot\Abfindung und Long term projection\"/>
    </mc:Choice>
  </mc:AlternateContent>
  <xr:revisionPtr revIDLastSave="0" documentId="13_ncr:1_{2D478CAD-949B-408F-84A5-88422F7505F3}" xr6:coauthVersionLast="47" xr6:coauthVersionMax="47" xr10:uidLastSave="{00000000-0000-0000-0000-000000000000}"/>
  <bookViews>
    <workbookView xWindow="-120" yWindow="-120" windowWidth="29040" windowHeight="15720" xr2:uid="{00000000-000D-0000-FFFF-FFFF00000000}"/>
  </bookViews>
  <sheets>
    <sheet name="Erklärung - Situation" sheetId="2" r:id="rId1"/>
    <sheet name="Abfindung 2024" sheetId="3" r:id="rId2"/>
    <sheet name="Long Term Projection"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C13" i="3"/>
  <c r="G43" i="1"/>
  <c r="G42" i="1"/>
  <c r="G41" i="1"/>
  <c r="G40" i="1"/>
  <c r="G39" i="1"/>
  <c r="G38" i="1"/>
  <c r="G37" i="1"/>
  <c r="G36" i="1"/>
  <c r="G35" i="1"/>
  <c r="G34" i="1"/>
  <c r="G33" i="1"/>
  <c r="B41" i="1"/>
  <c r="B40" i="1"/>
  <c r="B39" i="1"/>
  <c r="B38" i="1"/>
  <c r="B37" i="1"/>
  <c r="B36" i="1"/>
  <c r="C5" i="1" s="1"/>
  <c r="B35" i="1"/>
  <c r="B33" i="1"/>
  <c r="C24" i="1" s="1"/>
  <c r="B32" i="1"/>
  <c r="B28" i="1"/>
  <c r="B25" i="1"/>
  <c r="B22" i="1"/>
  <c r="B21" i="1"/>
  <c r="B20" i="1"/>
  <c r="W20" i="1" s="1"/>
  <c r="B12" i="1"/>
  <c r="B11" i="1"/>
  <c r="B10" i="1"/>
  <c r="B9" i="1"/>
  <c r="B8" i="1"/>
  <c r="B7" i="1"/>
  <c r="B6" i="1"/>
  <c r="B5" i="1"/>
  <c r="I15" i="2"/>
  <c r="I14" i="2"/>
  <c r="F14" i="2"/>
  <c r="B42" i="1" s="1"/>
  <c r="I10" i="2"/>
  <c r="I6" i="2"/>
  <c r="L5" i="1" l="1"/>
  <c r="K5" i="1"/>
  <c r="Z5" i="1"/>
  <c r="R5" i="1"/>
  <c r="J5" i="1"/>
  <c r="S5" i="1"/>
  <c r="Y5" i="1"/>
  <c r="Q5" i="1"/>
  <c r="I5" i="1"/>
  <c r="X5" i="1"/>
  <c r="P5" i="1"/>
  <c r="H5" i="1"/>
  <c r="W5" i="1"/>
  <c r="O5" i="1"/>
  <c r="G5" i="1"/>
  <c r="V5" i="1"/>
  <c r="N5" i="1"/>
  <c r="F5" i="1"/>
  <c r="D5" i="1"/>
  <c r="U5" i="1"/>
  <c r="M5" i="1"/>
  <c r="E5" i="1"/>
  <c r="T5" i="1"/>
  <c r="H20" i="1"/>
  <c r="I20" i="1"/>
  <c r="P20" i="1"/>
  <c r="Q20" i="1"/>
  <c r="X20" i="1"/>
  <c r="Y20" i="1"/>
  <c r="J20" i="1"/>
  <c r="R20" i="1"/>
  <c r="Z20" i="1"/>
  <c r="C20" i="1"/>
  <c r="K20" i="1"/>
  <c r="S20" i="1"/>
  <c r="D20" i="1"/>
  <c r="L20" i="1"/>
  <c r="T20" i="1"/>
  <c r="V20" i="1"/>
  <c r="E20" i="1"/>
  <c r="M20" i="1"/>
  <c r="U20" i="1"/>
  <c r="F20" i="1"/>
  <c r="N20" i="1"/>
  <c r="G20" i="1"/>
  <c r="O20" i="1"/>
  <c r="C22" i="3"/>
  <c r="C15" i="1"/>
  <c r="C14" i="3" s="1"/>
  <c r="C9" i="1"/>
  <c r="C9" i="3" s="1"/>
  <c r="C23" i="1"/>
  <c r="C21" i="3" s="1"/>
  <c r="C10" i="1"/>
  <c r="C10" i="3" s="1"/>
  <c r="C7" i="1"/>
  <c r="C7" i="3" s="1"/>
  <c r="C5" i="3"/>
  <c r="C17" i="1"/>
  <c r="C16" i="3" s="1"/>
  <c r="C16" i="1"/>
  <c r="C15" i="3" s="1"/>
  <c r="C12" i="1"/>
  <c r="C12" i="3" s="1"/>
  <c r="C11" i="1"/>
  <c r="C11" i="3" s="1"/>
  <c r="C21" i="1"/>
  <c r="C19" i="3" s="1"/>
  <c r="C22" i="1"/>
  <c r="C20" i="3" s="1"/>
  <c r="D1" i="1" l="1"/>
  <c r="D24" i="1" s="1"/>
  <c r="E25" i="1"/>
  <c r="E26" i="1" s="1"/>
  <c r="F25" i="1"/>
  <c r="F26" i="1" s="1"/>
  <c r="G25" i="1"/>
  <c r="G26" i="1" s="1"/>
  <c r="H25" i="1"/>
  <c r="H26" i="1" s="1"/>
  <c r="I25" i="1"/>
  <c r="I26" i="1" s="1"/>
  <c r="J25" i="1"/>
  <c r="J26" i="1" s="1"/>
  <c r="K25" i="1"/>
  <c r="K26" i="1" s="1"/>
  <c r="L25" i="1"/>
  <c r="L26" i="1" s="1"/>
  <c r="M25" i="1"/>
  <c r="M26" i="1" s="1"/>
  <c r="N25" i="1"/>
  <c r="N26" i="1" s="1"/>
  <c r="O25" i="1"/>
  <c r="O26" i="1" s="1"/>
  <c r="P25" i="1"/>
  <c r="P26" i="1" s="1"/>
  <c r="Q25" i="1"/>
  <c r="Q26" i="1" s="1"/>
  <c r="R25" i="1"/>
  <c r="R26" i="1" s="1"/>
  <c r="S25" i="1"/>
  <c r="S26" i="1" s="1"/>
  <c r="T25" i="1"/>
  <c r="T26" i="1" s="1"/>
  <c r="U25" i="1"/>
  <c r="U26" i="1" s="1"/>
  <c r="V25" i="1"/>
  <c r="V26" i="1" s="1"/>
  <c r="W25" i="1"/>
  <c r="W26" i="1" s="1"/>
  <c r="X25" i="1"/>
  <c r="X26" i="1" s="1"/>
  <c r="Y25" i="1"/>
  <c r="Y26" i="1" s="1"/>
  <c r="Z25" i="1"/>
  <c r="Z26" i="1" s="1"/>
  <c r="D25" i="1"/>
  <c r="D26" i="1" s="1"/>
  <c r="C25" i="1"/>
  <c r="C8" i="1"/>
  <c r="C8" i="3" s="1"/>
  <c r="C18" i="3"/>
  <c r="C6" i="1"/>
  <c r="C6" i="3" s="1"/>
  <c r="C26" i="1" l="1"/>
  <c r="C24" i="3" s="1"/>
  <c r="C23" i="3"/>
  <c r="C13" i="1"/>
  <c r="D15" i="1"/>
  <c r="D9" i="1"/>
  <c r="D7" i="1"/>
  <c r="D23" i="1"/>
  <c r="D10" i="1"/>
  <c r="D17" i="1"/>
  <c r="D16" i="1"/>
  <c r="D12" i="1"/>
  <c r="D11" i="1"/>
  <c r="D22" i="1"/>
  <c r="D21" i="1"/>
  <c r="E1" i="1"/>
  <c r="E24" i="1" s="1"/>
  <c r="D6" i="1"/>
  <c r="D8" i="1"/>
  <c r="C17" i="3" l="1"/>
  <c r="C19" i="1"/>
  <c r="C27" i="1" s="1"/>
  <c r="C18" i="1"/>
  <c r="D13" i="1"/>
  <c r="E15" i="1"/>
  <c r="E9" i="1"/>
  <c r="E7" i="1"/>
  <c r="E10" i="1"/>
  <c r="E23" i="1"/>
  <c r="E17" i="1"/>
  <c r="E16" i="1"/>
  <c r="E12" i="1"/>
  <c r="E22" i="1"/>
  <c r="E11" i="1"/>
  <c r="E21" i="1"/>
  <c r="E6" i="1"/>
  <c r="E8" i="1"/>
  <c r="F1" i="1"/>
  <c r="F24" i="1" s="1"/>
  <c r="D19" i="1" l="1"/>
  <c r="D27" i="1" s="1"/>
  <c r="D18" i="1"/>
  <c r="C29" i="3"/>
  <c r="C28" i="1"/>
  <c r="C26" i="3" s="1"/>
  <c r="C29" i="1"/>
  <c r="C31" i="3" s="1"/>
  <c r="L31" i="3" s="1"/>
  <c r="C28" i="3"/>
  <c r="C25" i="3"/>
  <c r="E13" i="1"/>
  <c r="F9" i="1"/>
  <c r="F15" i="1"/>
  <c r="F10" i="1"/>
  <c r="F23" i="1"/>
  <c r="F7" i="1"/>
  <c r="F17" i="1"/>
  <c r="F16" i="1"/>
  <c r="F12" i="1"/>
  <c r="F11" i="1"/>
  <c r="F22" i="1"/>
  <c r="F21" i="1"/>
  <c r="F8" i="1"/>
  <c r="G1" i="1"/>
  <c r="G24" i="1" s="1"/>
  <c r="F6" i="1"/>
  <c r="D29" i="1" l="1"/>
  <c r="E19" i="1"/>
  <c r="E27" i="1" s="1"/>
  <c r="E18" i="1"/>
  <c r="D28" i="1"/>
  <c r="F13" i="1"/>
  <c r="G9" i="1"/>
  <c r="G15" i="1"/>
  <c r="G10" i="1"/>
  <c r="G23" i="1"/>
  <c r="G7" i="1"/>
  <c r="G17" i="1"/>
  <c r="G16" i="1"/>
  <c r="G12" i="1"/>
  <c r="G22" i="1"/>
  <c r="G11" i="1"/>
  <c r="G21" i="1"/>
  <c r="G8" i="1"/>
  <c r="G6" i="1"/>
  <c r="H1" i="1"/>
  <c r="H24" i="1" s="1"/>
  <c r="E29" i="1" l="1"/>
  <c r="F18" i="1"/>
  <c r="F19" i="1"/>
  <c r="G13" i="1"/>
  <c r="E28" i="1"/>
  <c r="H9" i="1"/>
  <c r="H15" i="1"/>
  <c r="H10" i="1"/>
  <c r="H23" i="1"/>
  <c r="H7" i="1"/>
  <c r="H17" i="1"/>
  <c r="H16" i="1"/>
  <c r="H12" i="1"/>
  <c r="H22" i="1"/>
  <c r="H11" i="1"/>
  <c r="H21" i="1"/>
  <c r="H8" i="1"/>
  <c r="H6" i="1"/>
  <c r="I1" i="1"/>
  <c r="I24" i="1" s="1"/>
  <c r="F29" i="1" l="1"/>
  <c r="G18" i="1"/>
  <c r="G19" i="1"/>
  <c r="F27" i="1"/>
  <c r="F28" i="1" s="1"/>
  <c r="H13" i="1"/>
  <c r="I9" i="1"/>
  <c r="I15" i="1"/>
  <c r="I10" i="1"/>
  <c r="I23" i="1"/>
  <c r="I7" i="1"/>
  <c r="I17" i="1"/>
  <c r="I16" i="1"/>
  <c r="I12" i="1"/>
  <c r="I22" i="1"/>
  <c r="I11" i="1"/>
  <c r="I21" i="1"/>
  <c r="I8" i="1"/>
  <c r="I6" i="1"/>
  <c r="J1" i="1"/>
  <c r="J24" i="1" s="1"/>
  <c r="G29" i="1" l="1"/>
  <c r="G27" i="1"/>
  <c r="G28" i="1" s="1"/>
  <c r="H18" i="1"/>
  <c r="H19" i="1"/>
  <c r="I13" i="1"/>
  <c r="J9" i="1"/>
  <c r="J15" i="1"/>
  <c r="J10" i="1"/>
  <c r="J23" i="1"/>
  <c r="J7" i="1"/>
  <c r="J17" i="1"/>
  <c r="J16" i="1"/>
  <c r="J12" i="1"/>
  <c r="J22" i="1"/>
  <c r="J11" i="1"/>
  <c r="J21" i="1"/>
  <c r="K1" i="1"/>
  <c r="K24" i="1" s="1"/>
  <c r="J8" i="1"/>
  <c r="J6" i="1"/>
  <c r="H29" i="1" l="1"/>
  <c r="H27" i="1"/>
  <c r="H28" i="1" s="1"/>
  <c r="I18" i="1"/>
  <c r="I19" i="1"/>
  <c r="I27" i="1" s="1"/>
  <c r="J13" i="1"/>
  <c r="K15" i="1"/>
  <c r="K9" i="1"/>
  <c r="K7" i="1"/>
  <c r="K10" i="1"/>
  <c r="K23" i="1"/>
  <c r="K17" i="1"/>
  <c r="K16" i="1"/>
  <c r="K12" i="1"/>
  <c r="K11" i="1"/>
  <c r="K22" i="1"/>
  <c r="K21" i="1"/>
  <c r="K8" i="1"/>
  <c r="L1" i="1"/>
  <c r="L24" i="1" s="1"/>
  <c r="K6" i="1"/>
  <c r="I29" i="1" l="1"/>
  <c r="J18" i="1"/>
  <c r="J19" i="1"/>
  <c r="J27" i="1" s="1"/>
  <c r="K13" i="1"/>
  <c r="L15" i="1"/>
  <c r="L9" i="1"/>
  <c r="L10" i="1"/>
  <c r="L23" i="1"/>
  <c r="L7" i="1"/>
  <c r="L17" i="1"/>
  <c r="L16" i="1"/>
  <c r="L12" i="1"/>
  <c r="L22" i="1"/>
  <c r="L11" i="1"/>
  <c r="I28" i="1"/>
  <c r="L21" i="1"/>
  <c r="L8" i="1"/>
  <c r="L6" i="1"/>
  <c r="M1" i="1"/>
  <c r="M24" i="1" s="1"/>
  <c r="J29" i="1" l="1"/>
  <c r="K18" i="1"/>
  <c r="K19" i="1"/>
  <c r="K27" i="1" s="1"/>
  <c r="L13" i="1"/>
  <c r="M9" i="1"/>
  <c r="M15" i="1"/>
  <c r="M7" i="1"/>
  <c r="M23" i="1"/>
  <c r="M10" i="1"/>
  <c r="M17" i="1"/>
  <c r="M16" i="1"/>
  <c r="M12" i="1"/>
  <c r="M22" i="1"/>
  <c r="M11" i="1"/>
  <c r="J28" i="1"/>
  <c r="M21" i="1"/>
  <c r="M6" i="1"/>
  <c r="N1" i="1"/>
  <c r="N24" i="1" s="1"/>
  <c r="M8" i="1"/>
  <c r="K29" i="1" l="1"/>
  <c r="L18" i="1"/>
  <c r="L19" i="1"/>
  <c r="L27" i="1" s="1"/>
  <c r="M13" i="1"/>
  <c r="N9" i="1"/>
  <c r="N15" i="1"/>
  <c r="N10" i="1"/>
  <c r="N23" i="1"/>
  <c r="N7" i="1"/>
  <c r="N17" i="1"/>
  <c r="N16" i="1"/>
  <c r="N12" i="1"/>
  <c r="N11" i="1"/>
  <c r="N22" i="1"/>
  <c r="K28" i="1"/>
  <c r="N21" i="1"/>
  <c r="N8" i="1"/>
  <c r="O1" i="1"/>
  <c r="O24" i="1" s="1"/>
  <c r="N6" i="1"/>
  <c r="L29" i="1" l="1"/>
  <c r="M19" i="1"/>
  <c r="M27" i="1" s="1"/>
  <c r="M18" i="1"/>
  <c r="N13" i="1"/>
  <c r="O9" i="1"/>
  <c r="O15" i="1"/>
  <c r="O10" i="1"/>
  <c r="O23" i="1"/>
  <c r="O7" i="1"/>
  <c r="O17" i="1"/>
  <c r="O16" i="1"/>
  <c r="O12" i="1"/>
  <c r="O22" i="1"/>
  <c r="O11" i="1"/>
  <c r="L28" i="1"/>
  <c r="O21" i="1"/>
  <c r="O8" i="1"/>
  <c r="O6" i="1"/>
  <c r="P1" i="1"/>
  <c r="P24" i="1" s="1"/>
  <c r="M29" i="1" l="1"/>
  <c r="N18" i="1"/>
  <c r="N19" i="1"/>
  <c r="N27" i="1" s="1"/>
  <c r="O13" i="1"/>
  <c r="P9" i="1"/>
  <c r="P15" i="1"/>
  <c r="P10" i="1"/>
  <c r="P23" i="1"/>
  <c r="P7" i="1"/>
  <c r="P17" i="1"/>
  <c r="P16" i="1"/>
  <c r="P12" i="1"/>
  <c r="M28" i="1"/>
  <c r="P22" i="1"/>
  <c r="P11" i="1"/>
  <c r="P21" i="1"/>
  <c r="P6" i="1"/>
  <c r="Q1" i="1"/>
  <c r="Q24" i="1" s="1"/>
  <c r="P8" i="1"/>
  <c r="N29" i="1" l="1"/>
  <c r="O18" i="1"/>
  <c r="O19" i="1"/>
  <c r="P13" i="1"/>
  <c r="Q9" i="1"/>
  <c r="Q15" i="1"/>
  <c r="Q10" i="1"/>
  <c r="Q23" i="1"/>
  <c r="Q7" i="1"/>
  <c r="Q17" i="1"/>
  <c r="Q16" i="1"/>
  <c r="Q12" i="1"/>
  <c r="N28" i="1"/>
  <c r="Q22" i="1"/>
  <c r="Q11" i="1"/>
  <c r="Q21" i="1"/>
  <c r="Q6" i="1"/>
  <c r="Q8" i="1"/>
  <c r="R1" i="1"/>
  <c r="R24" i="1" s="1"/>
  <c r="O29" i="1" l="1"/>
  <c r="O27" i="1"/>
  <c r="O28" i="1" s="1"/>
  <c r="P18" i="1"/>
  <c r="P19" i="1"/>
  <c r="P27" i="1" s="1"/>
  <c r="Q13" i="1"/>
  <c r="R9" i="1"/>
  <c r="R15" i="1"/>
  <c r="R10" i="1"/>
  <c r="R23" i="1"/>
  <c r="R7" i="1"/>
  <c r="R17" i="1"/>
  <c r="R16" i="1"/>
  <c r="R12" i="1"/>
  <c r="R22" i="1"/>
  <c r="R11" i="1"/>
  <c r="R21" i="1"/>
  <c r="S1" i="1"/>
  <c r="S24" i="1" s="1"/>
  <c r="R8" i="1"/>
  <c r="R6" i="1"/>
  <c r="P29" i="1" l="1"/>
  <c r="Q18" i="1"/>
  <c r="Q19" i="1"/>
  <c r="Q27" i="1" s="1"/>
  <c r="R13" i="1"/>
  <c r="S9" i="1"/>
  <c r="S15" i="1"/>
  <c r="S10" i="1"/>
  <c r="S23" i="1"/>
  <c r="S7" i="1"/>
  <c r="S17" i="1"/>
  <c r="S16" i="1"/>
  <c r="S12" i="1"/>
  <c r="S11" i="1"/>
  <c r="S22" i="1"/>
  <c r="P28" i="1"/>
  <c r="S21" i="1"/>
  <c r="S6" i="1"/>
  <c r="S8" i="1"/>
  <c r="T1" i="1"/>
  <c r="T24" i="1" s="1"/>
  <c r="Q29" i="1" l="1"/>
  <c r="R19" i="1"/>
  <c r="R27" i="1" s="1"/>
  <c r="R18" i="1"/>
  <c r="S13" i="1"/>
  <c r="T15" i="1"/>
  <c r="T9" i="1"/>
  <c r="T10" i="1"/>
  <c r="T23" i="1"/>
  <c r="T7" i="1"/>
  <c r="T17" i="1"/>
  <c r="T16" i="1"/>
  <c r="T12" i="1"/>
  <c r="T22" i="1"/>
  <c r="T11" i="1"/>
  <c r="Q28" i="1"/>
  <c r="T21" i="1"/>
  <c r="T6" i="1"/>
  <c r="U1" i="1"/>
  <c r="U24" i="1" s="1"/>
  <c r="T8" i="1"/>
  <c r="R29" i="1" l="1"/>
  <c r="S18" i="1"/>
  <c r="S19" i="1"/>
  <c r="S27" i="1" s="1"/>
  <c r="T13" i="1"/>
  <c r="U15" i="1"/>
  <c r="U9" i="1"/>
  <c r="U7" i="1"/>
  <c r="U10" i="1"/>
  <c r="U23" i="1"/>
  <c r="U17" i="1"/>
  <c r="U16" i="1"/>
  <c r="U12" i="1"/>
  <c r="U22" i="1"/>
  <c r="U11" i="1"/>
  <c r="R28" i="1"/>
  <c r="U21" i="1"/>
  <c r="U6" i="1"/>
  <c r="V1" i="1"/>
  <c r="V24" i="1" s="1"/>
  <c r="U8" i="1"/>
  <c r="S29" i="1" l="1"/>
  <c r="T18" i="1"/>
  <c r="T19" i="1"/>
  <c r="T27" i="1" s="1"/>
  <c r="U13" i="1"/>
  <c r="V9" i="1"/>
  <c r="V15" i="1"/>
  <c r="V10" i="1"/>
  <c r="V23" i="1"/>
  <c r="V7" i="1"/>
  <c r="V17" i="1"/>
  <c r="V16" i="1"/>
  <c r="V12" i="1"/>
  <c r="V22" i="1"/>
  <c r="V11" i="1"/>
  <c r="S28" i="1"/>
  <c r="V21" i="1"/>
  <c r="V8" i="1"/>
  <c r="V6" i="1"/>
  <c r="W1" i="1"/>
  <c r="W24" i="1" s="1"/>
  <c r="T29" i="1" l="1"/>
  <c r="U19" i="1"/>
  <c r="U27" i="1" s="1"/>
  <c r="U18" i="1"/>
  <c r="V13" i="1"/>
  <c r="W9" i="1"/>
  <c r="W15" i="1"/>
  <c r="W10" i="1"/>
  <c r="W23" i="1"/>
  <c r="W7" i="1"/>
  <c r="W17" i="1"/>
  <c r="W16" i="1"/>
  <c r="W12" i="1"/>
  <c r="W22" i="1"/>
  <c r="W11" i="1"/>
  <c r="T28" i="1"/>
  <c r="W21" i="1"/>
  <c r="W6" i="1"/>
  <c r="X1" i="1"/>
  <c r="X24" i="1" s="1"/>
  <c r="W8" i="1"/>
  <c r="U29" i="1" l="1"/>
  <c r="V18" i="1"/>
  <c r="V19" i="1"/>
  <c r="V27" i="1" s="1"/>
  <c r="W13" i="1"/>
  <c r="X9" i="1"/>
  <c r="X15" i="1"/>
  <c r="X10" i="1"/>
  <c r="X23" i="1"/>
  <c r="X7" i="1"/>
  <c r="X17" i="1"/>
  <c r="X16" i="1"/>
  <c r="X12" i="1"/>
  <c r="X22" i="1"/>
  <c r="X11" i="1"/>
  <c r="U28" i="1"/>
  <c r="X21" i="1"/>
  <c r="X6" i="1"/>
  <c r="X8" i="1"/>
  <c r="Y1" i="1"/>
  <c r="Y24" i="1" s="1"/>
  <c r="V29" i="1" l="1"/>
  <c r="W18" i="1"/>
  <c r="W19" i="1"/>
  <c r="W27" i="1" s="1"/>
  <c r="X13" i="1"/>
  <c r="Y9" i="1"/>
  <c r="Y15" i="1"/>
  <c r="Y23" i="1"/>
  <c r="Y10" i="1"/>
  <c r="Y7" i="1"/>
  <c r="Y17" i="1"/>
  <c r="Y16" i="1"/>
  <c r="Y12" i="1"/>
  <c r="Y22" i="1"/>
  <c r="Y11" i="1"/>
  <c r="V28" i="1"/>
  <c r="Y21" i="1"/>
  <c r="Y6" i="1"/>
  <c r="Z1" i="1"/>
  <c r="Z24" i="1" s="1"/>
  <c r="Y8" i="1"/>
  <c r="W29" i="1" l="1"/>
  <c r="X18" i="1"/>
  <c r="X19" i="1"/>
  <c r="X27" i="1" s="1"/>
  <c r="Y13" i="1"/>
  <c r="Z9" i="1"/>
  <c r="Z15" i="1"/>
  <c r="Z10" i="1"/>
  <c r="Z23" i="1"/>
  <c r="Z7" i="1"/>
  <c r="Z17" i="1"/>
  <c r="Z16" i="1"/>
  <c r="Z12" i="1"/>
  <c r="Z22" i="1"/>
  <c r="Z11" i="1"/>
  <c r="W28" i="1"/>
  <c r="Z21" i="1"/>
  <c r="Z8" i="1"/>
  <c r="Z6" i="1"/>
  <c r="X29" i="1" l="1"/>
  <c r="Y18" i="1"/>
  <c r="Y19" i="1"/>
  <c r="Y27" i="1" s="1"/>
  <c r="Z13" i="1"/>
  <c r="X28" i="1"/>
  <c r="Y29" i="1" l="1"/>
  <c r="Z19" i="1"/>
  <c r="Z27" i="1" s="1"/>
  <c r="Z18" i="1"/>
  <c r="Y28" i="1"/>
  <c r="Z29" i="1" l="1"/>
  <c r="Z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Reisacher, Steffen</author>
    <author>Steffen Reisacher</author>
  </authors>
  <commentList>
    <comment ref="F10" authorId="0" shapeId="0" xr:uid="{1C436705-E51D-42A7-AA0C-979FF98CE4C9}">
      <text>
        <r>
          <rPr>
            <sz val="9"/>
            <color indexed="81"/>
            <rFont val="Tahoma"/>
            <family val="2"/>
          </rPr>
          <t xml:space="preserve">Sanierungsmaßnahme an Immobilie 1, die im Jahr mit hohem Einkommen voll geltend gemacht werden kann. </t>
        </r>
      </text>
    </comment>
    <comment ref="I13" authorId="1" shapeId="0" xr:uid="{1C574691-3438-4665-8B87-41D8D1652DEB}">
      <text>
        <r>
          <rPr>
            <b/>
            <sz val="9"/>
            <color indexed="81"/>
            <rFont val="Segoe UI"/>
            <charset val="1"/>
          </rPr>
          <t>Steffen Reisacher:</t>
        </r>
        <r>
          <rPr>
            <sz val="9"/>
            <color indexed="81"/>
            <rFont val="Segoe UI"/>
            <charset val="1"/>
          </rPr>
          <t xml:space="preserve">
Wir gehen von 50% Finanzierungsquote aus. Diese kann aber auch höher sein.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Reisacher, Steffen</author>
    <author>Steffen Reisacher</author>
  </authors>
  <commentList>
    <comment ref="B38" authorId="0" shapeId="0" xr:uid="{00000000-0006-0000-0000-000001000000}">
      <text>
        <r>
          <rPr>
            <sz val="9"/>
            <color indexed="81"/>
            <rFont val="Tahoma"/>
            <family val="2"/>
          </rPr>
          <t>Major Refurbishment in the same year as you are receiving the severance payment</t>
        </r>
      </text>
    </comment>
    <comment ref="G41" authorId="1" shapeId="0" xr:uid="{EC77A8BE-1BE4-495E-8089-CE1F2271E5D5}">
      <text>
        <r>
          <rPr>
            <b/>
            <sz val="9"/>
            <color indexed="81"/>
            <rFont val="Segoe UI"/>
            <charset val="1"/>
          </rPr>
          <t>Steffen Reisacher:</t>
        </r>
        <r>
          <rPr>
            <sz val="9"/>
            <color indexed="81"/>
            <rFont val="Segoe UI"/>
            <charset val="1"/>
          </rPr>
          <t xml:space="preserve">
We assume 50% financing for the project</t>
        </r>
      </text>
    </comment>
  </commentList>
</comments>
</file>

<file path=xl/sharedStrings.xml><?xml version="1.0" encoding="utf-8"?>
<sst xmlns="http://schemas.openxmlformats.org/spreadsheetml/2006/main" count="136" uniqueCount="70">
  <si>
    <t>Total</t>
  </si>
  <si>
    <t xml:space="preserve">Sell Real Estate #2 in </t>
  </si>
  <si>
    <t>monthly</t>
  </si>
  <si>
    <t>Ihr Bruttoeinkommen</t>
  </si>
  <si>
    <t>Bruttoeinkommen des Ehepartners</t>
  </si>
  <si>
    <t>Einkommen aus Immobilie #1</t>
  </si>
  <si>
    <t>Zinszahlungen (steuerlich absetzbar) #1</t>
  </si>
  <si>
    <t>Reparaturen (voll absetzbar) #1</t>
  </si>
  <si>
    <t xml:space="preserve"> Einkommen aus Immobilie #2</t>
  </si>
  <si>
    <t>Zinszahlungen (steuerlich absetzbar) #2</t>
  </si>
  <si>
    <t>Reparaturen (voll absetzbar) #2</t>
  </si>
  <si>
    <t>Steuersparmöglichkeiten</t>
  </si>
  <si>
    <t>Zusätzliche Reparaturen Immobilie #1 beim Verlassen der Firma</t>
  </si>
  <si>
    <t>Firmengründung beim Verlassen der Firma</t>
  </si>
  <si>
    <t>Solarprojekt(e) beim Verlassen der Firma/steuerliches Einkommen</t>
  </si>
  <si>
    <t>Einkommen aus Kapitalanlagen und Gehalt</t>
  </si>
  <si>
    <t>Steuerschätzung (mit Steuerberater überprüfen!!)</t>
  </si>
  <si>
    <t>Steuerschätzung unter Berücksichtigung von Steuersparmaßnahmen</t>
  </si>
  <si>
    <t>Lebenshaltungskosten pro Monat</t>
  </si>
  <si>
    <t>Tilgungszahlungen Immobilie #1</t>
  </si>
  <si>
    <t>Tilgungszahlungen Immobilie #2</t>
  </si>
  <si>
    <t>Steuerfreier Verkauf von Immobilien #1 und #2</t>
  </si>
  <si>
    <t>Steuerfreies Einkommen aus Solarenergie</t>
  </si>
  <si>
    <t>Einkommen aus Aktienportfolio / Monat</t>
  </si>
  <si>
    <t>Steuer auf Aktien wird voraussichtlich 25% betragen</t>
  </si>
  <si>
    <t>Akkumulation des Vermögens</t>
  </si>
  <si>
    <t>Durch Steuersparmaßnahmen eingesparte Steuern</t>
  </si>
  <si>
    <t>Szenarien</t>
  </si>
  <si>
    <t>Aktueller Monat (Jan=1, Dez=12)</t>
  </si>
  <si>
    <t>Sie verlassen Ihr Unternehmen im</t>
  </si>
  <si>
    <t>- Ihr neues Bruttoeinkommen/Monat:</t>
  </si>
  <si>
    <t>- neues Bruttoeinkommen des Ehepartners</t>
  </si>
  <si>
    <t>- Bruttoauszahlung der Firma (Abfindung)</t>
  </si>
  <si>
    <t>- durchschnittlicher Steuersatz</t>
  </si>
  <si>
    <t>Voll absetzbare Immobilienreparaturen in</t>
  </si>
  <si>
    <t>- Reparaturkosten für Immobilie #1</t>
  </si>
  <si>
    <t>- zusätzliches Einkommen aus Sanierung/Jahr</t>
  </si>
  <si>
    <t>Gründungskosten für Unternehmen</t>
  </si>
  <si>
    <t>- Einkommen in den folgenden Jahren 15%</t>
  </si>
  <si>
    <t>Verkauf von Immobilie #1 in</t>
  </si>
  <si>
    <t>Preis abzüglich ausstehendem Darlehen</t>
  </si>
  <si>
    <t>danach kein Einkommen aus #2</t>
  </si>
  <si>
    <t>danach keine Ausgaben für #2</t>
  </si>
  <si>
    <t>danach kein Einkommen aus #1</t>
  </si>
  <si>
    <t>danach keine Ausgaben für #1</t>
  </si>
  <si>
    <t>Ausgaben für ein Solarprojekt</t>
  </si>
  <si>
    <t>- Einkommen in den darauffolgenden Jahren</t>
  </si>
  <si>
    <t>- Abschreibung über 10 Jahre</t>
  </si>
  <si>
    <t>Ihr Ausgangsvermögen</t>
  </si>
  <si>
    <t>Sie verlassen Ihr Unternehmen im Jahr</t>
  </si>
  <si>
    <t>Verkauf von Immobilie #2 in</t>
  </si>
  <si>
    <t xml:space="preserve">Einkommen aus Aktienportfolio </t>
  </si>
  <si>
    <t xml:space="preserve">Lebenshaltungskosten </t>
  </si>
  <si>
    <t xml:space="preserve">Wenn Sie diesen Betrag im Abfindungsjahr verlieren, dann müssen Sie in Folgejahren </t>
  </si>
  <si>
    <t xml:space="preserve">verdienen, </t>
  </si>
  <si>
    <t xml:space="preserve">um das verlorene Geld wiederzubekommen. </t>
  </si>
  <si>
    <t>Wie wirken sich die Investments und die Abfindung langfristig aus? Kann ich mir die Abfindung leisten?</t>
  </si>
  <si>
    <t>Einkommen aus Immobilie #2</t>
  </si>
  <si>
    <t>Ihr Bruttoeinkommen/Monat</t>
  </si>
  <si>
    <t>Vermögensstand Ende 2024</t>
  </si>
  <si>
    <t xml:space="preserve"> </t>
  </si>
  <si>
    <t>Kreditfinanzierung möglich</t>
  </si>
  <si>
    <t>Sollten Sie Fragen haben, dann sprechen Sie uns gerne an:</t>
  </si>
  <si>
    <t>steffen@fo-reisacher.de</t>
  </si>
  <si>
    <t xml:space="preserve">Dieser Abfindungsrechner ist geistiges Eigentum von Steffen Reisacher </t>
  </si>
  <si>
    <t>www.fo-reisacher.com</t>
  </si>
  <si>
    <t>Steffen Reisacher, Family Office Reisacher</t>
  </si>
  <si>
    <t>Dieses Excel wurde speziell dafür entwickelt, Personen wie Ihnen zu helfen, ihre Steuern in Jahren mit besonders hohen Einnahmen zu optimieren. So können wir nicht nur eine detaillierte Analyse Ihrer finanziellen Situation ermöglichen, sondern auch maßgeschneiderte Empfehlungen bieten, wie Sie Ihre Steuerlast minimieren können. Dies würde bedeuten, dass mehr von Ihrem Geld dort bleibt, wo es hingehört – in Ihrer Tasche.
Dieser Steueroptimierungsrechner für Privatpersonen mit hohem Steuersatz ist genau das Werkzeug, das Sie brauchen. Es wurde mit dem Ziel entwickelt, Ihnen zu zeigen, wie Sie durch strategische Planung und kluge Entscheidungen Ihre Steuern optimieren können. Indem Sie lernen, das Steuersystem zu Ihrem Vorteil zu nutzen, können Sie einen signifikanten Unterschied in Ihrem finanziellen Wohlergehen bewirken.
Wir laden Sie ein, diesen Weg zu beschreiten und zu entdecken, wie Sie Ihre finanzielle Zukunft sichern können, indem Sie Ihre Steuerlast optimieren. Es ist Zeit, die Kontrolle über Ihre Finanzen zu übernehmen und zu lernen, wie Sie Ihr Geld für sich arbeiten lassen können.
Bitte füllen Sie die Fragen unten möglichst genau aus.      *** Wir sind kein Steuerberater - dieses Excel kann keine Beratung durch einen Steuerberater ersetzen ***</t>
  </si>
  <si>
    <t>*** Wir sind kein Steuerberater - dieses Excel kann keine Beratung durch einen Steuerberater ersetzen ***</t>
  </si>
  <si>
    <t>So kann Ihre steuerliche Situation im Abfindungsjahr aussehen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</si>
</sst>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9"/>
      <color indexed="81"/>
      <name val="Tahoma"/>
      <family val="2"/>
    </font>
    <font>
      <sz val="9"/>
      <color indexed="81"/>
      <name val="Segoe UI"/>
      <charset val="1"/>
    </font>
    <font>
      <b/>
      <sz val="9"/>
      <color indexed="81"/>
      <name val="Segoe UI"/>
      <charset val="1"/>
    </font>
    <font>
      <b/>
      <sz val="12"/>
      <color theme="1"/>
      <name val="Arial"/>
      <family val="2"/>
    </font>
    <font>
      <b/>
      <sz val="12"/>
      <color theme="1"/>
      <name val="Ariel"/>
    </font>
    <font>
      <u/>
      <sz val="11"/>
      <color theme="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
      <patternFill patternType="solid">
        <fgColor theme="7"/>
        <bgColor indexed="64"/>
      </patternFill>
    </fill>
  </fills>
  <borders count="9">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65">
    <xf numFmtId="0" fontId="0" fillId="0" borderId="0" xfId="0"/>
    <xf numFmtId="0" fontId="2" fillId="0" borderId="0" xfId="0" applyFont="1" applyAlignment="1">
      <alignment horizontal="center"/>
    </xf>
    <xf numFmtId="0" fontId="0" fillId="0" borderId="0" xfId="0" applyAlignment="1">
      <alignment horizontal="center"/>
    </xf>
    <xf numFmtId="0" fontId="2" fillId="0" borderId="0" xfId="0" applyFont="1" applyProtection="1">
      <protection hidden="1"/>
    </xf>
    <xf numFmtId="165" fontId="0" fillId="0" borderId="0" xfId="1" applyNumberFormat="1" applyFont="1" applyProtection="1">
      <protection hidden="1"/>
    </xf>
    <xf numFmtId="0" fontId="2" fillId="2" borderId="0" xfId="0" applyFont="1" applyFill="1" applyProtection="1">
      <protection hidden="1"/>
    </xf>
    <xf numFmtId="165" fontId="0" fillId="2" borderId="0" xfId="1" applyNumberFormat="1" applyFont="1" applyFill="1" applyProtection="1">
      <protection hidden="1"/>
    </xf>
    <xf numFmtId="0" fontId="0" fillId="2" borderId="0" xfId="0" applyFill="1" applyAlignment="1" applyProtection="1">
      <alignment horizontal="left" indent="1"/>
      <protection hidden="1"/>
    </xf>
    <xf numFmtId="0" fontId="0" fillId="0" borderId="0" xfId="0" applyAlignment="1" applyProtection="1">
      <alignment horizontal="left" indent="1"/>
      <protection hidden="1"/>
    </xf>
    <xf numFmtId="0" fontId="2" fillId="0" borderId="0" xfId="0" applyFont="1" applyAlignment="1" applyProtection="1">
      <alignment horizontal="left"/>
      <protection hidden="1"/>
    </xf>
    <xf numFmtId="165" fontId="0" fillId="0" borderId="1" xfId="1" applyNumberFormat="1" applyFont="1" applyFill="1" applyBorder="1" applyProtection="1">
      <protection hidden="1"/>
    </xf>
    <xf numFmtId="0" fontId="0" fillId="4" borderId="0" xfId="0" applyFill="1" applyProtection="1">
      <protection hidden="1"/>
    </xf>
    <xf numFmtId="165" fontId="0" fillId="4" borderId="1" xfId="1" applyNumberFormat="1" applyFont="1" applyFill="1" applyBorder="1" applyProtection="1">
      <protection hidden="1"/>
    </xf>
    <xf numFmtId="165" fontId="0" fillId="4" borderId="0" xfId="1" applyNumberFormat="1" applyFont="1" applyFill="1" applyProtection="1">
      <protection hidden="1"/>
    </xf>
    <xf numFmtId="0" fontId="0" fillId="0" borderId="0" xfId="0" applyProtection="1">
      <protection hidden="1"/>
    </xf>
    <xf numFmtId="0" fontId="0" fillId="0" borderId="0" xfId="0" applyAlignment="1" applyProtection="1">
      <alignment horizontal="left"/>
      <protection hidden="1"/>
    </xf>
    <xf numFmtId="0" fontId="0" fillId="2" borderId="0" xfId="0" applyFill="1" applyAlignment="1" applyProtection="1">
      <alignment horizontal="left"/>
      <protection hidden="1"/>
    </xf>
    <xf numFmtId="0" fontId="0" fillId="2" borderId="0" xfId="0" applyFill="1" applyProtection="1">
      <protection hidden="1"/>
    </xf>
    <xf numFmtId="165" fontId="0" fillId="2" borderId="1" xfId="1" applyNumberFormat="1" applyFont="1" applyFill="1" applyBorder="1" applyProtection="1">
      <protection hidden="1"/>
    </xf>
    <xf numFmtId="165" fontId="0" fillId="0" borderId="1" xfId="1" applyNumberFormat="1" applyFont="1" applyBorder="1" applyProtection="1">
      <protection hidden="1"/>
    </xf>
    <xf numFmtId="165" fontId="0" fillId="0" borderId="0" xfId="0" applyNumberFormat="1" applyProtection="1">
      <protection hidden="1"/>
    </xf>
    <xf numFmtId="0" fontId="4" fillId="0" borderId="0" xfId="0" applyFont="1" applyProtection="1">
      <protection hidden="1"/>
    </xf>
    <xf numFmtId="14" fontId="0" fillId="0" borderId="0" xfId="0" applyNumberFormat="1" applyProtection="1">
      <protection hidden="1"/>
    </xf>
    <xf numFmtId="0" fontId="3" fillId="0" borderId="0" xfId="0" applyFont="1" applyProtection="1">
      <protection hidden="1"/>
    </xf>
    <xf numFmtId="0" fontId="0" fillId="0" borderId="0" xfId="0" quotePrefix="1" applyProtection="1">
      <protection hidden="1"/>
    </xf>
    <xf numFmtId="0" fontId="0" fillId="3" borderId="0" xfId="0" applyFill="1" applyProtection="1">
      <protection locked="0"/>
    </xf>
    <xf numFmtId="0" fontId="8" fillId="0" borderId="0" xfId="0" applyFont="1" applyAlignment="1">
      <alignment vertical="center" wrapText="1"/>
    </xf>
    <xf numFmtId="165" fontId="0" fillId="3" borderId="0" xfId="1" applyNumberFormat="1" applyFont="1" applyFill="1" applyBorder="1" applyProtection="1">
      <protection locked="0"/>
    </xf>
    <xf numFmtId="9" fontId="0" fillId="3" borderId="0" xfId="2" applyFont="1" applyFill="1" applyBorder="1" applyProtection="1">
      <protection locked="0"/>
    </xf>
    <xf numFmtId="0" fontId="2" fillId="0" borderId="2" xfId="0" applyFont="1" applyBorder="1" applyProtection="1">
      <protection hidden="1"/>
    </xf>
    <xf numFmtId="165" fontId="0" fillId="3" borderId="3" xfId="1" applyNumberFormat="1" applyFont="1" applyFill="1" applyBorder="1" applyProtection="1">
      <protection locked="0"/>
    </xf>
    <xf numFmtId="0" fontId="0" fillId="0" borderId="3" xfId="0" applyBorder="1"/>
    <xf numFmtId="0" fontId="3" fillId="0" borderId="3" xfId="0" applyFont="1" applyBorder="1" applyProtection="1">
      <protection hidden="1"/>
    </xf>
    <xf numFmtId="0" fontId="0" fillId="3" borderId="3" xfId="0" applyFill="1" applyBorder="1" applyProtection="1">
      <protection locked="0"/>
    </xf>
    <xf numFmtId="0" fontId="2" fillId="0" borderId="5" xfId="0" applyFont="1" applyBorder="1" applyProtection="1">
      <protection hidden="1"/>
    </xf>
    <xf numFmtId="0" fontId="2" fillId="2" borderId="5" xfId="0" applyFont="1" applyFill="1" applyBorder="1" applyProtection="1">
      <protection hidden="1"/>
    </xf>
    <xf numFmtId="0" fontId="0" fillId="2" borderId="5" xfId="0" applyFill="1" applyBorder="1" applyAlignment="1" applyProtection="1">
      <alignment horizontal="left" indent="1"/>
      <protection hidden="1"/>
    </xf>
    <xf numFmtId="0" fontId="0" fillId="0" borderId="5" xfId="0" applyBorder="1" applyAlignment="1" applyProtection="1">
      <alignment horizontal="left" indent="1"/>
      <protection hidden="1"/>
    </xf>
    <xf numFmtId="0" fontId="0" fillId="0" borderId="5" xfId="0" applyBorder="1" applyProtection="1">
      <protection hidden="1"/>
    </xf>
    <xf numFmtId="0" fontId="0" fillId="2" borderId="5" xfId="0" applyFill="1" applyBorder="1" applyAlignment="1" applyProtection="1">
      <alignment horizontal="left"/>
      <protection hidden="1"/>
    </xf>
    <xf numFmtId="0" fontId="0" fillId="0" borderId="5" xfId="0" applyBorder="1" applyAlignment="1" applyProtection="1">
      <alignment horizontal="left"/>
      <protection hidden="1"/>
    </xf>
    <xf numFmtId="0" fontId="0" fillId="4" borderId="5" xfId="0" applyFill="1" applyBorder="1" applyProtection="1">
      <protection hidden="1"/>
    </xf>
    <xf numFmtId="0" fontId="0" fillId="0" borderId="1" xfId="0" applyBorder="1"/>
    <xf numFmtId="0" fontId="0" fillId="0" borderId="6" xfId="0" applyBorder="1" applyProtection="1">
      <protection hidden="1"/>
    </xf>
    <xf numFmtId="0" fontId="0" fillId="3" borderId="7" xfId="0" applyFill="1" applyBorder="1" applyProtection="1">
      <protection locked="0"/>
    </xf>
    <xf numFmtId="0" fontId="0" fillId="0" borderId="7" xfId="0" applyBorder="1"/>
    <xf numFmtId="0" fontId="0" fillId="0" borderId="8" xfId="0" applyBorder="1"/>
    <xf numFmtId="0" fontId="9" fillId="0" borderId="0" xfId="0" applyFont="1" applyProtection="1">
      <protection hidden="1"/>
    </xf>
    <xf numFmtId="165" fontId="9" fillId="0" borderId="0" xfId="1" applyNumberFormat="1" applyFont="1" applyProtection="1">
      <protection hidden="1"/>
    </xf>
    <xf numFmtId="0" fontId="9" fillId="0" borderId="0" xfId="0" applyFont="1"/>
    <xf numFmtId="165" fontId="9" fillId="0" borderId="0" xfId="0" applyNumberFormat="1" applyFont="1"/>
    <xf numFmtId="0" fontId="0" fillId="0" borderId="4" xfId="0" applyBorder="1"/>
    <xf numFmtId="0" fontId="4" fillId="0" borderId="0" xfId="0" applyFont="1" applyAlignment="1">
      <alignment horizontal="center"/>
    </xf>
    <xf numFmtId="0" fontId="10" fillId="0" borderId="0" xfId="3"/>
    <xf numFmtId="0" fontId="2" fillId="0" borderId="0" xfId="0" applyFont="1"/>
    <xf numFmtId="165" fontId="0" fillId="0" borderId="1" xfId="1" applyNumberFormat="1" applyFont="1" applyFill="1" applyBorder="1" applyProtection="1">
      <protection locked="0"/>
    </xf>
    <xf numFmtId="165" fontId="0" fillId="2" borderId="1" xfId="1" applyNumberFormat="1" applyFont="1" applyFill="1" applyBorder="1" applyProtection="1">
      <protection locked="0"/>
    </xf>
    <xf numFmtId="165" fontId="0" fillId="4" borderId="1" xfId="1" applyNumberFormat="1" applyFont="1" applyFill="1" applyBorder="1" applyProtection="1">
      <protection locked="0"/>
    </xf>
    <xf numFmtId="0" fontId="0" fillId="0" borderId="0" xfId="0" applyProtection="1">
      <protection locked="0"/>
    </xf>
    <xf numFmtId="165" fontId="0" fillId="0" borderId="0" xfId="1" applyNumberFormat="1" applyFont="1" applyFill="1" applyProtection="1">
      <protection locked="0"/>
    </xf>
    <xf numFmtId="9" fontId="0" fillId="0" borderId="0" xfId="2" applyFont="1" applyFill="1" applyProtection="1">
      <protection locked="0"/>
    </xf>
    <xf numFmtId="165" fontId="0" fillId="3" borderId="0" xfId="0" applyNumberFormat="1" applyFill="1" applyProtection="1">
      <protection hidden="1"/>
    </xf>
    <xf numFmtId="0" fontId="0" fillId="0" borderId="0" xfId="0" applyAlignment="1">
      <alignment horizontal="right"/>
    </xf>
    <xf numFmtId="0" fontId="0" fillId="0" borderId="7" xfId="0" applyBorder="1" applyProtection="1">
      <protection hidden="1"/>
    </xf>
    <xf numFmtId="0" fontId="8" fillId="0" borderId="0" xfId="0" applyFont="1" applyAlignment="1">
      <alignment horizontal="left" vertical="center" wrapText="1"/>
    </xf>
  </cellXfs>
  <cellStyles count="4">
    <cellStyle name="Komma" xfId="1" builtinId="3"/>
    <cellStyle name="Link" xfId="3" builtinId="8"/>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o-reisacher.com/" TargetMode="External"/><Relationship Id="rId1" Type="http://schemas.openxmlformats.org/officeDocument/2006/relationships/hyperlink" Target="mailto:steffen@fo-reisacher.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o-reisacher.com/" TargetMode="External"/><Relationship Id="rId1" Type="http://schemas.openxmlformats.org/officeDocument/2006/relationships/hyperlink" Target="mailto:steffen@fo-reisacher.d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fo-reisacher.com/" TargetMode="External"/><Relationship Id="rId1" Type="http://schemas.openxmlformats.org/officeDocument/2006/relationships/hyperlink" Target="mailto:steffen@fo-reisacher.d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813DE-5376-47B0-AE1E-66250FD32561}">
  <dimension ref="B2:Q24"/>
  <sheetViews>
    <sheetView tabSelected="1" workbookViewId="0">
      <selection activeCell="F21" sqref="F21"/>
    </sheetView>
  </sheetViews>
  <sheetFormatPr baseColWidth="10" defaultRowHeight="15"/>
  <cols>
    <col min="1" max="1" width="4.85546875" customWidth="1"/>
    <col min="2" max="2" width="62.85546875" bestFit="1" customWidth="1"/>
    <col min="5" max="5" width="42.5703125" bestFit="1" customWidth="1"/>
    <col min="6" max="6" width="9.7109375" bestFit="1" customWidth="1"/>
    <col min="8" max="8" width="41" bestFit="1" customWidth="1"/>
  </cols>
  <sheetData>
    <row r="2" spans="2:17" ht="174" customHeight="1">
      <c r="B2" s="64" t="s">
        <v>67</v>
      </c>
      <c r="C2" s="64"/>
      <c r="D2" s="64"/>
      <c r="E2" s="64"/>
      <c r="F2" s="64"/>
      <c r="G2" s="64"/>
      <c r="H2" s="64"/>
      <c r="I2" s="64"/>
      <c r="J2" s="64"/>
      <c r="K2" s="64"/>
      <c r="L2" s="64"/>
      <c r="M2" s="64"/>
      <c r="N2" s="64"/>
      <c r="O2" s="26"/>
      <c r="P2" s="26"/>
      <c r="Q2" s="26"/>
    </row>
    <row r="3" spans="2:17">
      <c r="B3" s="54" t="s">
        <v>62</v>
      </c>
      <c r="C3" s="53" t="s">
        <v>63</v>
      </c>
      <c r="E3" s="62" t="s">
        <v>66</v>
      </c>
    </row>
    <row r="5" spans="2:17" ht="15.75">
      <c r="B5" s="29" t="s">
        <v>58</v>
      </c>
      <c r="C5" s="30">
        <v>5500</v>
      </c>
      <c r="D5" s="31"/>
      <c r="E5" s="32" t="s">
        <v>49</v>
      </c>
      <c r="F5" s="33">
        <v>2024</v>
      </c>
      <c r="G5" s="31"/>
      <c r="H5" s="32" t="s">
        <v>39</v>
      </c>
      <c r="I5" s="33">
        <v>2032</v>
      </c>
      <c r="J5" s="31"/>
      <c r="K5" s="31"/>
      <c r="L5" s="31"/>
      <c r="M5" s="31"/>
      <c r="N5" s="51"/>
    </row>
    <row r="6" spans="2:17">
      <c r="B6" s="34" t="s">
        <v>4</v>
      </c>
      <c r="C6" s="27">
        <v>2000</v>
      </c>
      <c r="E6" s="24" t="s">
        <v>31</v>
      </c>
      <c r="F6" s="27">
        <v>4000</v>
      </c>
      <c r="H6" s="14" t="s">
        <v>40</v>
      </c>
      <c r="I6" s="27">
        <f>780000-550000</f>
        <v>230000</v>
      </c>
      <c r="N6" s="42"/>
    </row>
    <row r="7" spans="2:17">
      <c r="B7" s="35" t="s">
        <v>5</v>
      </c>
      <c r="C7" s="27">
        <v>3000</v>
      </c>
      <c r="E7" s="24" t="s">
        <v>30</v>
      </c>
      <c r="F7" s="27">
        <v>3500</v>
      </c>
      <c r="H7" s="14" t="s">
        <v>43</v>
      </c>
      <c r="I7" s="27">
        <v>0</v>
      </c>
      <c r="N7" s="42"/>
    </row>
    <row r="8" spans="2:17">
      <c r="B8" s="36" t="s">
        <v>6</v>
      </c>
      <c r="C8" s="27">
        <v>-1000</v>
      </c>
      <c r="E8" s="24" t="s">
        <v>32</v>
      </c>
      <c r="F8" s="27">
        <v>400000</v>
      </c>
      <c r="H8" s="14" t="s">
        <v>44</v>
      </c>
      <c r="I8" s="27">
        <v>0</v>
      </c>
      <c r="N8" s="42"/>
    </row>
    <row r="9" spans="2:17" ht="15.75">
      <c r="B9" s="36" t="s">
        <v>7</v>
      </c>
      <c r="C9" s="27">
        <v>-600</v>
      </c>
      <c r="E9" s="24" t="s">
        <v>33</v>
      </c>
      <c r="F9" s="28">
        <v>0.38</v>
      </c>
      <c r="H9" s="23" t="s">
        <v>50</v>
      </c>
      <c r="I9" s="25">
        <v>2036</v>
      </c>
      <c r="N9" s="42"/>
    </row>
    <row r="10" spans="2:17" ht="15.75">
      <c r="B10" s="34" t="s">
        <v>8</v>
      </c>
      <c r="C10" s="27">
        <v>2800</v>
      </c>
      <c r="E10" s="23" t="s">
        <v>34</v>
      </c>
      <c r="F10" s="25">
        <v>2024</v>
      </c>
      <c r="H10" s="14" t="s">
        <v>40</v>
      </c>
      <c r="I10" s="27">
        <f>780000-520000</f>
        <v>260000</v>
      </c>
      <c r="N10" s="42"/>
    </row>
    <row r="11" spans="2:17">
      <c r="B11" s="37" t="s">
        <v>9</v>
      </c>
      <c r="C11" s="27">
        <v>-1300</v>
      </c>
      <c r="E11" s="24" t="s">
        <v>35</v>
      </c>
      <c r="F11" s="27">
        <v>-80000</v>
      </c>
      <c r="H11" s="14" t="s">
        <v>41</v>
      </c>
      <c r="I11" s="27">
        <v>0</v>
      </c>
      <c r="N11" s="42"/>
    </row>
    <row r="12" spans="2:17">
      <c r="B12" s="37" t="s">
        <v>10</v>
      </c>
      <c r="C12" s="27">
        <v>-600</v>
      </c>
      <c r="E12" s="24" t="s">
        <v>36</v>
      </c>
      <c r="F12" s="27">
        <v>1500</v>
      </c>
      <c r="H12" s="14" t="s">
        <v>42</v>
      </c>
      <c r="I12" s="27">
        <v>0</v>
      </c>
      <c r="N12" s="42"/>
    </row>
    <row r="13" spans="2:17" ht="15.75">
      <c r="B13" s="38" t="s">
        <v>18</v>
      </c>
      <c r="C13" s="27">
        <v>-3500</v>
      </c>
      <c r="E13" s="23" t="s">
        <v>37</v>
      </c>
      <c r="F13" s="27">
        <v>-80000</v>
      </c>
      <c r="H13" s="23" t="s">
        <v>45</v>
      </c>
      <c r="I13" s="27">
        <v>-100000</v>
      </c>
      <c r="N13" s="42"/>
    </row>
    <row r="14" spans="2:17">
      <c r="B14" s="39" t="s">
        <v>19</v>
      </c>
      <c r="C14" s="27">
        <v>-800</v>
      </c>
      <c r="E14" s="24" t="s">
        <v>38</v>
      </c>
      <c r="F14" s="27">
        <f>F13*-0.15</f>
        <v>12000</v>
      </c>
      <c r="H14" s="24" t="s">
        <v>46</v>
      </c>
      <c r="I14" s="27">
        <f>-I13*0.07*0.75</f>
        <v>5250.0000000000009</v>
      </c>
      <c r="N14" s="42"/>
    </row>
    <row r="15" spans="2:17">
      <c r="B15" s="40" t="s">
        <v>20</v>
      </c>
      <c r="C15" s="27">
        <v>-800</v>
      </c>
      <c r="H15" s="24" t="s">
        <v>47</v>
      </c>
      <c r="I15" s="61">
        <f>I13*5%</f>
        <v>-5000</v>
      </c>
      <c r="N15" s="42"/>
    </row>
    <row r="16" spans="2:17">
      <c r="B16" s="41" t="s">
        <v>23</v>
      </c>
      <c r="C16" s="27">
        <v>1500</v>
      </c>
      <c r="N16" s="42"/>
    </row>
    <row r="17" spans="2:14">
      <c r="B17" s="38" t="s">
        <v>48</v>
      </c>
      <c r="C17" s="27">
        <v>250000</v>
      </c>
      <c r="N17" s="42"/>
    </row>
    <row r="18" spans="2:14">
      <c r="B18" s="43" t="s">
        <v>28</v>
      </c>
      <c r="C18" s="44">
        <v>5</v>
      </c>
      <c r="D18" s="45"/>
      <c r="E18" s="45"/>
      <c r="F18" s="45"/>
      <c r="G18" s="45"/>
      <c r="H18" s="45"/>
      <c r="I18" s="45"/>
      <c r="J18" s="45"/>
      <c r="K18" s="45"/>
      <c r="L18" s="45"/>
      <c r="M18" s="45"/>
      <c r="N18" s="46"/>
    </row>
    <row r="19" spans="2:14">
      <c r="D19" s="14"/>
    </row>
    <row r="20" spans="2:14">
      <c r="B20" t="s">
        <v>64</v>
      </c>
      <c r="C20" s="53" t="s">
        <v>65</v>
      </c>
      <c r="D20" s="14"/>
    </row>
    <row r="21" spans="2:14">
      <c r="D21" s="14"/>
    </row>
    <row r="22" spans="2:14">
      <c r="D22" s="14"/>
    </row>
    <row r="23" spans="2:14">
      <c r="D23" s="14"/>
    </row>
    <row r="24" spans="2:14">
      <c r="D24" s="14"/>
    </row>
  </sheetData>
  <protectedRanges>
    <protectedRange algorithmName="SHA-512" hashValue="myHaNV+Vh11kg76mU3CMulHETZfc6cgejVlrnKJGNRJ511qChggIRFpvgYQQplgP7SRF0axcY3i3XlBTRj+B/g==" saltValue="k7Q6pY1oKhnIaC9gIIz8dw==" spinCount="100000" sqref="I5:I14 C5:C15 C18 F5:F14" name="Eingabefelder"/>
  </protectedRanges>
  <mergeCells count="1">
    <mergeCell ref="B2:N2"/>
  </mergeCells>
  <dataValidations count="1">
    <dataValidation type="custom" allowBlank="1" showInputMessage="1" showErrorMessage="1" errorTitle="This year or future year" error="Please enter this year or a future year" promptTitle="Greater than actual year" sqref="F5" xr:uid="{CFCAB7DF-E789-4E87-B8BF-4FFBFCFFD09A}">
      <formula1>F5&gt;=D1048563</formula1>
    </dataValidation>
  </dataValidations>
  <hyperlinks>
    <hyperlink ref="C3" r:id="rId1" xr:uid="{E60704DB-6E5E-4011-AC43-EC38BCE645EF}"/>
    <hyperlink ref="C20" r:id="rId2" xr:uid="{EAAF75D9-139E-4114-BFF9-E535EA02B539}"/>
  </hyperlinks>
  <pageMargins left="0.7" right="0.7" top="0.78740157499999996" bottom="0.78740157499999996" header="0.3" footer="0.3"/>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EDEAA-FE61-45D3-AB6C-45A66C762348}">
  <dimension ref="B1:N35"/>
  <sheetViews>
    <sheetView workbookViewId="0">
      <selection activeCell="B4" sqref="B4"/>
    </sheetView>
  </sheetViews>
  <sheetFormatPr baseColWidth="10" defaultRowHeight="15"/>
  <cols>
    <col min="2" max="2" width="70" customWidth="1"/>
    <col min="11" max="11" width="26" customWidth="1"/>
  </cols>
  <sheetData>
    <row r="1" spans="2:5" ht="15.75">
      <c r="B1" s="47" t="s">
        <v>68</v>
      </c>
    </row>
    <row r="2" spans="2:5" ht="7.5" customHeight="1">
      <c r="B2" s="47"/>
    </row>
    <row r="3" spans="2:5" ht="18.75">
      <c r="B3" s="47" t="s">
        <v>69</v>
      </c>
      <c r="C3" s="52">
        <v>2024</v>
      </c>
    </row>
    <row r="5" spans="2:5">
      <c r="B5" s="3" t="s">
        <v>3</v>
      </c>
      <c r="C5" s="4">
        <f>'Long Term Projection'!C5</f>
        <v>463000</v>
      </c>
    </row>
    <row r="6" spans="2:5">
      <c r="B6" s="3" t="s">
        <v>4</v>
      </c>
      <c r="C6" s="4">
        <f>'Long Term Projection'!C6</f>
        <v>28000</v>
      </c>
    </row>
    <row r="7" spans="2:5">
      <c r="B7" s="5" t="s">
        <v>5</v>
      </c>
      <c r="C7" s="6">
        <f>'Long Term Projection'!C7</f>
        <v>21000</v>
      </c>
    </row>
    <row r="8" spans="2:5">
      <c r="B8" s="7" t="s">
        <v>6</v>
      </c>
      <c r="C8" s="6">
        <f>'Long Term Projection'!C8</f>
        <v>-7000</v>
      </c>
    </row>
    <row r="9" spans="2:5">
      <c r="B9" s="7" t="s">
        <v>7</v>
      </c>
      <c r="C9" s="6">
        <f>'Long Term Projection'!C9</f>
        <v>-4200</v>
      </c>
    </row>
    <row r="10" spans="2:5">
      <c r="B10" s="3" t="s">
        <v>57</v>
      </c>
      <c r="C10" s="4">
        <f>'Long Term Projection'!C10</f>
        <v>21000</v>
      </c>
    </row>
    <row r="11" spans="2:5">
      <c r="B11" s="8" t="s">
        <v>9</v>
      </c>
      <c r="C11" s="4">
        <f>'Long Term Projection'!C11</f>
        <v>-9100</v>
      </c>
    </row>
    <row r="12" spans="2:5">
      <c r="B12" s="8" t="s">
        <v>10</v>
      </c>
      <c r="C12" s="4">
        <f>'Long Term Projection'!C12</f>
        <v>-4200</v>
      </c>
    </row>
    <row r="13" spans="2:5">
      <c r="B13" s="9" t="s">
        <v>11</v>
      </c>
      <c r="C13" s="4">
        <f>'Long Term Projection'!C14</f>
        <v>0</v>
      </c>
    </row>
    <row r="14" spans="2:5">
      <c r="B14" s="8" t="s">
        <v>12</v>
      </c>
      <c r="C14" s="4">
        <f>'Long Term Projection'!C15</f>
        <v>-80000</v>
      </c>
      <c r="E14" t="s">
        <v>61</v>
      </c>
    </row>
    <row r="15" spans="2:5">
      <c r="B15" s="8" t="s">
        <v>13</v>
      </c>
      <c r="C15" s="4">
        <f>'Long Term Projection'!C16</f>
        <v>-80000</v>
      </c>
      <c r="E15" t="s">
        <v>61</v>
      </c>
    </row>
    <row r="16" spans="2:5">
      <c r="B16" s="8" t="s">
        <v>14</v>
      </c>
      <c r="C16" s="4">
        <f>'Long Term Projection'!C17</f>
        <v>-50000</v>
      </c>
      <c r="E16" t="s">
        <v>61</v>
      </c>
    </row>
    <row r="17" spans="2:13">
      <c r="B17" s="11" t="s">
        <v>15</v>
      </c>
      <c r="C17" s="13">
        <f>'Long Term Projection'!C13</f>
        <v>508500</v>
      </c>
      <c r="I17" t="s">
        <v>60</v>
      </c>
    </row>
    <row r="18" spans="2:13">
      <c r="B18" s="14" t="s">
        <v>52</v>
      </c>
      <c r="C18" s="4">
        <f>'Long Term Projection'!C20</f>
        <v>-24500</v>
      </c>
      <c r="H18" t="s">
        <v>60</v>
      </c>
    </row>
    <row r="19" spans="2:13">
      <c r="B19" s="16" t="s">
        <v>19</v>
      </c>
      <c r="C19" s="6">
        <f>'Long Term Projection'!C21</f>
        <v>-5600</v>
      </c>
    </row>
    <row r="20" spans="2:13">
      <c r="B20" s="15" t="s">
        <v>20</v>
      </c>
      <c r="C20" s="4">
        <f>'Long Term Projection'!C22</f>
        <v>-5600</v>
      </c>
    </row>
    <row r="21" spans="2:13">
      <c r="B21" s="15" t="s">
        <v>21</v>
      </c>
      <c r="C21" s="4">
        <f>'Long Term Projection'!C23</f>
        <v>0</v>
      </c>
    </row>
    <row r="22" spans="2:13">
      <c r="B22" s="15" t="s">
        <v>22</v>
      </c>
      <c r="C22" s="4">
        <f>'Long Term Projection'!C24</f>
        <v>0</v>
      </c>
    </row>
    <row r="23" spans="2:13">
      <c r="B23" s="11" t="s">
        <v>51</v>
      </c>
      <c r="C23" s="13">
        <f>'Long Term Projection'!C25</f>
        <v>10500</v>
      </c>
    </row>
    <row r="24" spans="2:13">
      <c r="B24" s="17" t="s">
        <v>24</v>
      </c>
      <c r="C24" s="6">
        <f>'Long Term Projection'!C26</f>
        <v>-2625</v>
      </c>
    </row>
    <row r="25" spans="2:13">
      <c r="B25" s="14" t="s">
        <v>0</v>
      </c>
      <c r="C25" s="4">
        <f>'Long Term Projection'!C27</f>
        <v>157245</v>
      </c>
    </row>
    <row r="26" spans="2:13">
      <c r="B26" s="14" t="s">
        <v>59</v>
      </c>
      <c r="C26" s="4">
        <f>'Long Term Projection'!C28</f>
        <v>407245</v>
      </c>
    </row>
    <row r="27" spans="2:13">
      <c r="B27" s="14"/>
      <c r="C27" s="4"/>
    </row>
    <row r="28" spans="2:13">
      <c r="B28" s="14" t="s">
        <v>16</v>
      </c>
      <c r="C28" s="4">
        <f>'Long Term Projection'!C18</f>
        <v>-193230</v>
      </c>
    </row>
    <row r="29" spans="2:13">
      <c r="B29" s="15" t="s">
        <v>17</v>
      </c>
      <c r="C29" s="4">
        <f>'Long Term Projection'!C19</f>
        <v>-113430</v>
      </c>
    </row>
    <row r="30" spans="2:13">
      <c r="B30" s="15"/>
      <c r="C30" s="4"/>
    </row>
    <row r="31" spans="2:13" ht="15.75">
      <c r="B31" s="47" t="s">
        <v>26</v>
      </c>
      <c r="C31" s="48">
        <f>'Long Term Projection'!C29</f>
        <v>79800</v>
      </c>
      <c r="D31" s="49"/>
      <c r="E31" s="49" t="s">
        <v>53</v>
      </c>
      <c r="F31" s="49"/>
      <c r="G31" s="49"/>
      <c r="H31" s="49"/>
      <c r="I31" s="49"/>
      <c r="J31" s="49"/>
      <c r="K31" s="49"/>
      <c r="L31" s="50">
        <f>C31*(1+'Erklärung - Situation'!F9)</f>
        <v>110123.99999999999</v>
      </c>
      <c r="M31" s="49" t="s">
        <v>54</v>
      </c>
    </row>
    <row r="32" spans="2:13" ht="15.75">
      <c r="B32" s="49"/>
      <c r="C32" s="49"/>
      <c r="D32" s="49"/>
      <c r="E32" s="49" t="s">
        <v>55</v>
      </c>
      <c r="F32" s="49"/>
      <c r="G32" s="49"/>
      <c r="H32" s="49"/>
      <c r="I32" s="49"/>
      <c r="J32" s="49"/>
      <c r="K32" s="49"/>
      <c r="L32" s="49"/>
      <c r="M32" s="49"/>
    </row>
    <row r="33" spans="2:14">
      <c r="B33" s="63"/>
      <c r="C33" s="45"/>
      <c r="D33" s="45"/>
      <c r="E33" s="45"/>
      <c r="F33" s="45"/>
      <c r="G33" s="45"/>
      <c r="H33" s="45"/>
      <c r="I33" s="45"/>
      <c r="J33" s="45"/>
      <c r="K33" s="45"/>
      <c r="L33" s="45"/>
      <c r="M33" s="45"/>
      <c r="N33" s="45"/>
    </row>
    <row r="34" spans="2:14">
      <c r="B34" s="54" t="s">
        <v>62</v>
      </c>
      <c r="C34" s="53" t="s">
        <v>63</v>
      </c>
      <c r="H34" s="62" t="s">
        <v>66</v>
      </c>
    </row>
    <row r="35" spans="2:14">
      <c r="B35" t="s">
        <v>64</v>
      </c>
      <c r="C35" s="53" t="s">
        <v>65</v>
      </c>
      <c r="D35" s="14"/>
    </row>
  </sheetData>
  <sheetProtection algorithmName="SHA-512" hashValue="aUcREslME5QkWtvSX5bd7jFnqmffx7NNusuVWSgGT8piYqFt7YPdgR8U6oGNWtuKAY7c7Gr2MDeAe0EGsVQLww==" saltValue="1uirkTBO0sWFgunfHoUR9A==" spinCount="100000" sheet="1" objects="1" scenarios="1"/>
  <hyperlinks>
    <hyperlink ref="C34" r:id="rId1" xr:uid="{C69EC7C9-1B03-42FD-ACFB-9307DA948DB8}"/>
    <hyperlink ref="C35" r:id="rId2" xr:uid="{765A771C-04E7-48ED-9F34-95B07083AC44}"/>
  </hyperlinks>
  <pageMargins left="0.7" right="0.7" top="0.78740157499999996" bottom="0.78740157499999996" header="0.3" footer="0.3"/>
  <pageSetup paperSize="9"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5"/>
  <sheetViews>
    <sheetView zoomScaleNormal="100" workbookViewId="0">
      <pane ySplit="1" topLeftCell="A2" activePane="bottomLeft" state="frozen"/>
      <selection pane="bottomLeft" activeCell="D5" sqref="D5"/>
    </sheetView>
  </sheetViews>
  <sheetFormatPr baseColWidth="10" defaultColWidth="9.140625" defaultRowHeight="15"/>
  <cols>
    <col min="1" max="1" width="38.42578125" customWidth="1"/>
    <col min="2" max="2" width="23.85546875" customWidth="1"/>
    <col min="3" max="26" width="11.28515625" customWidth="1"/>
  </cols>
  <sheetData>
    <row r="1" spans="1:26">
      <c r="B1" s="2" t="s">
        <v>2</v>
      </c>
      <c r="C1" s="1">
        <v>2024</v>
      </c>
      <c r="D1" s="1">
        <f>C1+1</f>
        <v>2025</v>
      </c>
      <c r="E1" s="1">
        <f t="shared" ref="E1:Z1" si="0">D1+1</f>
        <v>2026</v>
      </c>
      <c r="F1" s="1">
        <f t="shared" si="0"/>
        <v>2027</v>
      </c>
      <c r="G1" s="1">
        <f t="shared" si="0"/>
        <v>2028</v>
      </c>
      <c r="H1" s="1">
        <f t="shared" si="0"/>
        <v>2029</v>
      </c>
      <c r="I1" s="1">
        <f t="shared" si="0"/>
        <v>2030</v>
      </c>
      <c r="J1" s="1">
        <f t="shared" si="0"/>
        <v>2031</v>
      </c>
      <c r="K1" s="1">
        <f t="shared" si="0"/>
        <v>2032</v>
      </c>
      <c r="L1" s="1">
        <f t="shared" si="0"/>
        <v>2033</v>
      </c>
      <c r="M1" s="1">
        <f t="shared" si="0"/>
        <v>2034</v>
      </c>
      <c r="N1" s="1">
        <f t="shared" si="0"/>
        <v>2035</v>
      </c>
      <c r="O1" s="1">
        <f t="shared" si="0"/>
        <v>2036</v>
      </c>
      <c r="P1" s="1">
        <f t="shared" si="0"/>
        <v>2037</v>
      </c>
      <c r="Q1" s="1">
        <f t="shared" si="0"/>
        <v>2038</v>
      </c>
      <c r="R1" s="1">
        <f t="shared" si="0"/>
        <v>2039</v>
      </c>
      <c r="S1" s="1">
        <f t="shared" si="0"/>
        <v>2040</v>
      </c>
      <c r="T1" s="1">
        <f t="shared" si="0"/>
        <v>2041</v>
      </c>
      <c r="U1" s="1">
        <f t="shared" si="0"/>
        <v>2042</v>
      </c>
      <c r="V1" s="1">
        <f t="shared" si="0"/>
        <v>2043</v>
      </c>
      <c r="W1" s="1">
        <f t="shared" si="0"/>
        <v>2044</v>
      </c>
      <c r="X1" s="1">
        <f t="shared" si="0"/>
        <v>2045</v>
      </c>
      <c r="Y1" s="1">
        <f t="shared" si="0"/>
        <v>2046</v>
      </c>
      <c r="Z1" s="1">
        <f t="shared" si="0"/>
        <v>2047</v>
      </c>
    </row>
    <row r="2" spans="1:26" ht="18.75">
      <c r="A2" s="21" t="s">
        <v>56</v>
      </c>
      <c r="B2" s="2"/>
      <c r="C2" s="1"/>
      <c r="D2" s="1"/>
      <c r="E2" s="1"/>
      <c r="F2" s="1"/>
      <c r="G2" s="1"/>
      <c r="H2" s="1"/>
      <c r="I2" s="1"/>
      <c r="J2" s="1"/>
      <c r="K2" s="1"/>
      <c r="L2" s="1"/>
      <c r="M2" s="1"/>
      <c r="N2" s="1"/>
      <c r="O2" s="1"/>
      <c r="P2" s="1"/>
      <c r="Q2" s="1"/>
      <c r="R2" s="1"/>
      <c r="S2" s="1"/>
      <c r="T2" s="1"/>
      <c r="U2" s="1"/>
      <c r="V2" s="1"/>
      <c r="W2" s="1"/>
      <c r="X2" s="1"/>
      <c r="Y2" s="1"/>
      <c r="Z2" s="1"/>
    </row>
    <row r="3" spans="1:26">
      <c r="A3" s="54" t="s">
        <v>62</v>
      </c>
      <c r="B3" s="53" t="s">
        <v>63</v>
      </c>
      <c r="D3" s="1"/>
      <c r="E3" s="1"/>
      <c r="F3" s="62" t="s">
        <v>66</v>
      </c>
      <c r="G3" s="1"/>
      <c r="H3" s="1"/>
      <c r="I3" s="1"/>
      <c r="J3" s="1"/>
      <c r="K3" s="1"/>
      <c r="L3" s="1"/>
      <c r="M3" s="1"/>
      <c r="N3" s="1"/>
      <c r="O3" s="1"/>
      <c r="P3" s="1"/>
      <c r="Q3" s="1"/>
      <c r="R3" s="1"/>
      <c r="S3" s="1"/>
      <c r="T3" s="1"/>
      <c r="U3" s="1"/>
      <c r="V3" s="1"/>
      <c r="W3" s="1"/>
      <c r="X3" s="1"/>
      <c r="Y3" s="1"/>
      <c r="Z3" s="1"/>
    </row>
    <row r="4" spans="1:26">
      <c r="A4" s="54"/>
      <c r="B4" s="53"/>
      <c r="D4" s="1"/>
      <c r="E4" s="1"/>
      <c r="F4" s="1"/>
      <c r="G4" s="1"/>
      <c r="H4" s="1"/>
      <c r="I4" s="1"/>
      <c r="J4" s="1"/>
      <c r="K4" s="1"/>
      <c r="L4" s="1"/>
      <c r="M4" s="1"/>
      <c r="N4" s="1"/>
      <c r="O4" s="1"/>
      <c r="P4" s="1"/>
      <c r="Q4" s="1"/>
      <c r="R4" s="1"/>
      <c r="S4" s="1"/>
      <c r="T4" s="1"/>
      <c r="U4" s="1"/>
      <c r="V4" s="1"/>
      <c r="W4" s="1"/>
      <c r="X4" s="1"/>
      <c r="Y4" s="1"/>
      <c r="Z4" s="1"/>
    </row>
    <row r="5" spans="1:26">
      <c r="A5" s="3" t="s">
        <v>3</v>
      </c>
      <c r="B5" s="55">
        <f>'Erklärung - Situation'!C5</f>
        <v>5500</v>
      </c>
      <c r="C5" s="4">
        <f>12*IF($B$33&lt;C1,$B$35,$B$5)+IF($B$33=C1,$B$36+(12-$B$32)*$B$35-$B$32*$B$5,0)</f>
        <v>463000</v>
      </c>
      <c r="D5" s="4">
        <f>12*IF($B$33&lt;D1,$B$35,$B$5)+IF($B$33=D1,$B$36+(12-$B$32)*$B$35-$B$32*$B$5,0)</f>
        <v>42000</v>
      </c>
      <c r="E5" s="4">
        <f t="shared" ref="E5:Z5" si="1">12*IF($B$33&lt;E1,$B$35,$B$5)+IF($B$33=E1,$B$36+(12-$B$32)*$B$35-$B$32*$B$5,0)</f>
        <v>42000</v>
      </c>
      <c r="F5" s="4">
        <f t="shared" si="1"/>
        <v>42000</v>
      </c>
      <c r="G5" s="4">
        <f t="shared" si="1"/>
        <v>42000</v>
      </c>
      <c r="H5" s="4">
        <f t="shared" si="1"/>
        <v>42000</v>
      </c>
      <c r="I5" s="4">
        <f t="shared" si="1"/>
        <v>42000</v>
      </c>
      <c r="J5" s="4">
        <f t="shared" si="1"/>
        <v>42000</v>
      </c>
      <c r="K5" s="4">
        <f t="shared" si="1"/>
        <v>42000</v>
      </c>
      <c r="L5" s="4">
        <f t="shared" si="1"/>
        <v>42000</v>
      </c>
      <c r="M5" s="4">
        <f t="shared" si="1"/>
        <v>42000</v>
      </c>
      <c r="N5" s="4">
        <f t="shared" si="1"/>
        <v>42000</v>
      </c>
      <c r="O5" s="4">
        <f t="shared" si="1"/>
        <v>42000</v>
      </c>
      <c r="P5" s="4">
        <f t="shared" si="1"/>
        <v>42000</v>
      </c>
      <c r="Q5" s="4">
        <f t="shared" si="1"/>
        <v>42000</v>
      </c>
      <c r="R5" s="4">
        <f t="shared" si="1"/>
        <v>42000</v>
      </c>
      <c r="S5" s="4">
        <f t="shared" si="1"/>
        <v>42000</v>
      </c>
      <c r="T5" s="4">
        <f t="shared" si="1"/>
        <v>42000</v>
      </c>
      <c r="U5" s="4">
        <f t="shared" si="1"/>
        <v>42000</v>
      </c>
      <c r="V5" s="4">
        <f t="shared" si="1"/>
        <v>42000</v>
      </c>
      <c r="W5" s="4">
        <f t="shared" si="1"/>
        <v>42000</v>
      </c>
      <c r="X5" s="4">
        <f t="shared" si="1"/>
        <v>42000</v>
      </c>
      <c r="Y5" s="4">
        <f t="shared" si="1"/>
        <v>42000</v>
      </c>
      <c r="Z5" s="4">
        <f t="shared" si="1"/>
        <v>42000</v>
      </c>
    </row>
    <row r="6" spans="1:26">
      <c r="A6" s="3" t="s">
        <v>4</v>
      </c>
      <c r="B6" s="55">
        <f>'Erklärung - Situation'!C6</f>
        <v>2000</v>
      </c>
      <c r="C6" s="4">
        <f>(12-$B$32)*IF(B33&lt;=C1,B34,B6)</f>
        <v>28000</v>
      </c>
      <c r="D6" s="4">
        <f t="shared" ref="D6:Z6" si="2">12*IF($B$33&lt;=D1,$B$34,$B$6)</f>
        <v>48000</v>
      </c>
      <c r="E6" s="4">
        <f t="shared" si="2"/>
        <v>48000</v>
      </c>
      <c r="F6" s="4">
        <f t="shared" si="2"/>
        <v>48000</v>
      </c>
      <c r="G6" s="4">
        <f t="shared" si="2"/>
        <v>48000</v>
      </c>
      <c r="H6" s="4">
        <f t="shared" si="2"/>
        <v>48000</v>
      </c>
      <c r="I6" s="4">
        <f t="shared" si="2"/>
        <v>48000</v>
      </c>
      <c r="J6" s="4">
        <f t="shared" si="2"/>
        <v>48000</v>
      </c>
      <c r="K6" s="4">
        <f t="shared" si="2"/>
        <v>48000</v>
      </c>
      <c r="L6" s="4">
        <f t="shared" si="2"/>
        <v>48000</v>
      </c>
      <c r="M6" s="4">
        <f t="shared" si="2"/>
        <v>48000</v>
      </c>
      <c r="N6" s="4">
        <f t="shared" si="2"/>
        <v>48000</v>
      </c>
      <c r="O6" s="4">
        <f t="shared" si="2"/>
        <v>48000</v>
      </c>
      <c r="P6" s="4">
        <f t="shared" si="2"/>
        <v>48000</v>
      </c>
      <c r="Q6" s="4">
        <f t="shared" si="2"/>
        <v>48000</v>
      </c>
      <c r="R6" s="4">
        <f t="shared" si="2"/>
        <v>48000</v>
      </c>
      <c r="S6" s="4">
        <f t="shared" si="2"/>
        <v>48000</v>
      </c>
      <c r="T6" s="4">
        <f t="shared" si="2"/>
        <v>48000</v>
      </c>
      <c r="U6" s="4">
        <f t="shared" si="2"/>
        <v>48000</v>
      </c>
      <c r="V6" s="4">
        <f t="shared" si="2"/>
        <v>48000</v>
      </c>
      <c r="W6" s="4">
        <f t="shared" si="2"/>
        <v>48000</v>
      </c>
      <c r="X6" s="4">
        <f t="shared" si="2"/>
        <v>48000</v>
      </c>
      <c r="Y6" s="4">
        <f t="shared" si="2"/>
        <v>48000</v>
      </c>
      <c r="Z6" s="4">
        <f t="shared" si="2"/>
        <v>48000</v>
      </c>
    </row>
    <row r="7" spans="1:26">
      <c r="A7" s="5" t="s">
        <v>5</v>
      </c>
      <c r="B7" s="56">
        <f>'Erklärung - Situation'!C7</f>
        <v>3000</v>
      </c>
      <c r="C7" s="6">
        <f>(12-$B$32)*IF($G$33&lt;=C1,$G$35,$B$7)</f>
        <v>21000</v>
      </c>
      <c r="D7" s="6">
        <f t="shared" ref="D7:Z7" si="3">IF($G$33&lt;=D1,$G$35,12*$B$7+IF($B$38+1&lt;=D1,12*$B$40,0))</f>
        <v>54000</v>
      </c>
      <c r="E7" s="6">
        <f t="shared" si="3"/>
        <v>54000</v>
      </c>
      <c r="F7" s="6">
        <f t="shared" si="3"/>
        <v>54000</v>
      </c>
      <c r="G7" s="6">
        <f t="shared" si="3"/>
        <v>54000</v>
      </c>
      <c r="H7" s="6">
        <f t="shared" si="3"/>
        <v>54000</v>
      </c>
      <c r="I7" s="6">
        <f t="shared" si="3"/>
        <v>54000</v>
      </c>
      <c r="J7" s="6">
        <f t="shared" si="3"/>
        <v>54000</v>
      </c>
      <c r="K7" s="6">
        <f t="shared" si="3"/>
        <v>0</v>
      </c>
      <c r="L7" s="6">
        <f t="shared" si="3"/>
        <v>0</v>
      </c>
      <c r="M7" s="6">
        <f t="shared" si="3"/>
        <v>0</v>
      </c>
      <c r="N7" s="6">
        <f t="shared" si="3"/>
        <v>0</v>
      </c>
      <c r="O7" s="6">
        <f t="shared" si="3"/>
        <v>0</v>
      </c>
      <c r="P7" s="6">
        <f t="shared" si="3"/>
        <v>0</v>
      </c>
      <c r="Q7" s="6">
        <f t="shared" si="3"/>
        <v>0</v>
      </c>
      <c r="R7" s="6">
        <f t="shared" si="3"/>
        <v>0</v>
      </c>
      <c r="S7" s="6">
        <f t="shared" si="3"/>
        <v>0</v>
      </c>
      <c r="T7" s="6">
        <f t="shared" si="3"/>
        <v>0</v>
      </c>
      <c r="U7" s="6">
        <f t="shared" si="3"/>
        <v>0</v>
      </c>
      <c r="V7" s="6">
        <f t="shared" si="3"/>
        <v>0</v>
      </c>
      <c r="W7" s="6">
        <f t="shared" si="3"/>
        <v>0</v>
      </c>
      <c r="X7" s="6">
        <f t="shared" si="3"/>
        <v>0</v>
      </c>
      <c r="Y7" s="6">
        <f t="shared" si="3"/>
        <v>0</v>
      </c>
      <c r="Z7" s="6">
        <f t="shared" si="3"/>
        <v>0</v>
      </c>
    </row>
    <row r="8" spans="1:26">
      <c r="A8" s="7" t="s">
        <v>6</v>
      </c>
      <c r="B8" s="56">
        <f>'Erklärung - Situation'!C8</f>
        <v>-1000</v>
      </c>
      <c r="C8" s="6">
        <f>(12-$B$32)*IF($G$33&lt;=C1,$G$36,$B$8)</f>
        <v>-7000</v>
      </c>
      <c r="D8" s="6">
        <f t="shared" ref="D8:Z8" si="4">IF($G$33&lt;=D1,$G$36,12*$B$8)</f>
        <v>-12000</v>
      </c>
      <c r="E8" s="6">
        <f t="shared" si="4"/>
        <v>-12000</v>
      </c>
      <c r="F8" s="6">
        <f t="shared" si="4"/>
        <v>-12000</v>
      </c>
      <c r="G8" s="6">
        <f t="shared" si="4"/>
        <v>-12000</v>
      </c>
      <c r="H8" s="6">
        <f t="shared" si="4"/>
        <v>-12000</v>
      </c>
      <c r="I8" s="6">
        <f t="shared" si="4"/>
        <v>-12000</v>
      </c>
      <c r="J8" s="6">
        <f t="shared" si="4"/>
        <v>-12000</v>
      </c>
      <c r="K8" s="6">
        <f t="shared" si="4"/>
        <v>0</v>
      </c>
      <c r="L8" s="6">
        <f t="shared" si="4"/>
        <v>0</v>
      </c>
      <c r="M8" s="6">
        <f t="shared" si="4"/>
        <v>0</v>
      </c>
      <c r="N8" s="6">
        <f t="shared" si="4"/>
        <v>0</v>
      </c>
      <c r="O8" s="6">
        <f t="shared" si="4"/>
        <v>0</v>
      </c>
      <c r="P8" s="6">
        <f t="shared" si="4"/>
        <v>0</v>
      </c>
      <c r="Q8" s="6">
        <f t="shared" si="4"/>
        <v>0</v>
      </c>
      <c r="R8" s="6">
        <f t="shared" si="4"/>
        <v>0</v>
      </c>
      <c r="S8" s="6">
        <f t="shared" si="4"/>
        <v>0</v>
      </c>
      <c r="T8" s="6">
        <f t="shared" si="4"/>
        <v>0</v>
      </c>
      <c r="U8" s="6">
        <f t="shared" si="4"/>
        <v>0</v>
      </c>
      <c r="V8" s="6">
        <f t="shared" si="4"/>
        <v>0</v>
      </c>
      <c r="W8" s="6">
        <f t="shared" si="4"/>
        <v>0</v>
      </c>
      <c r="X8" s="6">
        <f t="shared" si="4"/>
        <v>0</v>
      </c>
      <c r="Y8" s="6">
        <f t="shared" si="4"/>
        <v>0</v>
      </c>
      <c r="Z8" s="6">
        <f t="shared" si="4"/>
        <v>0</v>
      </c>
    </row>
    <row r="9" spans="1:26">
      <c r="A9" s="7" t="s">
        <v>7</v>
      </c>
      <c r="B9" s="56">
        <f>'Erklärung - Situation'!C9</f>
        <v>-600</v>
      </c>
      <c r="C9" s="6">
        <f>(12-$B$32)*IF($G$33&lt;=C1,$G$36,$B$9)</f>
        <v>-4200</v>
      </c>
      <c r="D9" s="6">
        <f t="shared" ref="D9:Z9" si="5">+IF($G$33&lt;=D1,$G$36,12*$B$9)</f>
        <v>-7200</v>
      </c>
      <c r="E9" s="6">
        <f t="shared" si="5"/>
        <v>-7200</v>
      </c>
      <c r="F9" s="6">
        <f t="shared" si="5"/>
        <v>-7200</v>
      </c>
      <c r="G9" s="6">
        <f t="shared" si="5"/>
        <v>-7200</v>
      </c>
      <c r="H9" s="6">
        <f t="shared" si="5"/>
        <v>-7200</v>
      </c>
      <c r="I9" s="6">
        <f t="shared" si="5"/>
        <v>-7200</v>
      </c>
      <c r="J9" s="6">
        <f t="shared" si="5"/>
        <v>-7200</v>
      </c>
      <c r="K9" s="6">
        <f t="shared" si="5"/>
        <v>0</v>
      </c>
      <c r="L9" s="6">
        <f t="shared" si="5"/>
        <v>0</v>
      </c>
      <c r="M9" s="6">
        <f t="shared" si="5"/>
        <v>0</v>
      </c>
      <c r="N9" s="6">
        <f t="shared" si="5"/>
        <v>0</v>
      </c>
      <c r="O9" s="6">
        <f t="shared" si="5"/>
        <v>0</v>
      </c>
      <c r="P9" s="6">
        <f t="shared" si="5"/>
        <v>0</v>
      </c>
      <c r="Q9" s="6">
        <f t="shared" si="5"/>
        <v>0</v>
      </c>
      <c r="R9" s="6">
        <f t="shared" si="5"/>
        <v>0</v>
      </c>
      <c r="S9" s="6">
        <f t="shared" si="5"/>
        <v>0</v>
      </c>
      <c r="T9" s="6">
        <f t="shared" si="5"/>
        <v>0</v>
      </c>
      <c r="U9" s="6">
        <f t="shared" si="5"/>
        <v>0</v>
      </c>
      <c r="V9" s="6">
        <f t="shared" si="5"/>
        <v>0</v>
      </c>
      <c r="W9" s="6">
        <f t="shared" si="5"/>
        <v>0</v>
      </c>
      <c r="X9" s="6">
        <f t="shared" si="5"/>
        <v>0</v>
      </c>
      <c r="Y9" s="6">
        <f t="shared" si="5"/>
        <v>0</v>
      </c>
      <c r="Z9" s="6">
        <f t="shared" si="5"/>
        <v>0</v>
      </c>
    </row>
    <row r="10" spans="1:26">
      <c r="A10" s="3" t="s">
        <v>8</v>
      </c>
      <c r="B10" s="55">
        <f>'Erklärung - Situation'!C10</f>
        <v>2800</v>
      </c>
      <c r="C10" s="4">
        <f>(12-$B$32)*IF($G$37&lt;=C1,$G$39,$B$7)</f>
        <v>21000</v>
      </c>
      <c r="D10" s="4">
        <f t="shared" ref="D10:Z10" si="6">IF($G$37&lt;=D1,$G$39,12*$B$10)</f>
        <v>33600</v>
      </c>
      <c r="E10" s="4">
        <f t="shared" si="6"/>
        <v>33600</v>
      </c>
      <c r="F10" s="4">
        <f t="shared" si="6"/>
        <v>33600</v>
      </c>
      <c r="G10" s="4">
        <f t="shared" si="6"/>
        <v>33600</v>
      </c>
      <c r="H10" s="4">
        <f t="shared" si="6"/>
        <v>33600</v>
      </c>
      <c r="I10" s="4">
        <f t="shared" si="6"/>
        <v>33600</v>
      </c>
      <c r="J10" s="4">
        <f t="shared" si="6"/>
        <v>33600</v>
      </c>
      <c r="K10" s="4">
        <f t="shared" si="6"/>
        <v>33600</v>
      </c>
      <c r="L10" s="4">
        <f t="shared" si="6"/>
        <v>33600</v>
      </c>
      <c r="M10" s="4">
        <f t="shared" si="6"/>
        <v>33600</v>
      </c>
      <c r="N10" s="4">
        <f t="shared" si="6"/>
        <v>33600</v>
      </c>
      <c r="O10" s="4">
        <f t="shared" si="6"/>
        <v>0</v>
      </c>
      <c r="P10" s="4">
        <f t="shared" si="6"/>
        <v>0</v>
      </c>
      <c r="Q10" s="4">
        <f t="shared" si="6"/>
        <v>0</v>
      </c>
      <c r="R10" s="4">
        <f t="shared" si="6"/>
        <v>0</v>
      </c>
      <c r="S10" s="4">
        <f t="shared" si="6"/>
        <v>0</v>
      </c>
      <c r="T10" s="4">
        <f t="shared" si="6"/>
        <v>0</v>
      </c>
      <c r="U10" s="4">
        <f t="shared" si="6"/>
        <v>0</v>
      </c>
      <c r="V10" s="4">
        <f t="shared" si="6"/>
        <v>0</v>
      </c>
      <c r="W10" s="4">
        <f t="shared" si="6"/>
        <v>0</v>
      </c>
      <c r="X10" s="4">
        <f t="shared" si="6"/>
        <v>0</v>
      </c>
      <c r="Y10" s="4">
        <f t="shared" si="6"/>
        <v>0</v>
      </c>
      <c r="Z10" s="4">
        <f t="shared" si="6"/>
        <v>0</v>
      </c>
    </row>
    <row r="11" spans="1:26">
      <c r="A11" s="8" t="s">
        <v>9</v>
      </c>
      <c r="B11" s="55">
        <f>'Erklärung - Situation'!C11</f>
        <v>-1300</v>
      </c>
      <c r="C11" s="4">
        <f>(12-$B$32)*IF($G$37&lt;=C1,$G$40,$B$11)</f>
        <v>-9100</v>
      </c>
      <c r="D11" s="4">
        <f t="shared" ref="D11:Z11" si="7">IF($G$37&lt;=D1,$G$39,12*$B$11)</f>
        <v>-15600</v>
      </c>
      <c r="E11" s="4">
        <f t="shared" si="7"/>
        <v>-15600</v>
      </c>
      <c r="F11" s="4">
        <f t="shared" si="7"/>
        <v>-15600</v>
      </c>
      <c r="G11" s="4">
        <f t="shared" si="7"/>
        <v>-15600</v>
      </c>
      <c r="H11" s="4">
        <f t="shared" si="7"/>
        <v>-15600</v>
      </c>
      <c r="I11" s="4">
        <f t="shared" si="7"/>
        <v>-15600</v>
      </c>
      <c r="J11" s="4">
        <f t="shared" si="7"/>
        <v>-15600</v>
      </c>
      <c r="K11" s="4">
        <f t="shared" si="7"/>
        <v>-15600</v>
      </c>
      <c r="L11" s="4">
        <f t="shared" si="7"/>
        <v>-15600</v>
      </c>
      <c r="M11" s="4">
        <f t="shared" si="7"/>
        <v>-15600</v>
      </c>
      <c r="N11" s="4">
        <f t="shared" si="7"/>
        <v>-15600</v>
      </c>
      <c r="O11" s="4">
        <f t="shared" si="7"/>
        <v>0</v>
      </c>
      <c r="P11" s="4">
        <f t="shared" si="7"/>
        <v>0</v>
      </c>
      <c r="Q11" s="4">
        <f t="shared" si="7"/>
        <v>0</v>
      </c>
      <c r="R11" s="4">
        <f t="shared" si="7"/>
        <v>0</v>
      </c>
      <c r="S11" s="4">
        <f t="shared" si="7"/>
        <v>0</v>
      </c>
      <c r="T11" s="4">
        <f t="shared" si="7"/>
        <v>0</v>
      </c>
      <c r="U11" s="4">
        <f t="shared" si="7"/>
        <v>0</v>
      </c>
      <c r="V11" s="4">
        <f t="shared" si="7"/>
        <v>0</v>
      </c>
      <c r="W11" s="4">
        <f t="shared" si="7"/>
        <v>0</v>
      </c>
      <c r="X11" s="4">
        <f t="shared" si="7"/>
        <v>0</v>
      </c>
      <c r="Y11" s="4">
        <f t="shared" si="7"/>
        <v>0</v>
      </c>
      <c r="Z11" s="4">
        <f t="shared" si="7"/>
        <v>0</v>
      </c>
    </row>
    <row r="12" spans="1:26">
      <c r="A12" s="8" t="s">
        <v>10</v>
      </c>
      <c r="B12" s="55">
        <f>'Erklärung - Situation'!C12</f>
        <v>-600</v>
      </c>
      <c r="C12" s="4">
        <f>(12-$B$32)*IF($G$37&lt;=C1,$G$40,$B$12)</f>
        <v>-4200</v>
      </c>
      <c r="D12" s="4">
        <f t="shared" ref="D12:Z12" si="8">IF($G$33&lt;=D1,$G$36,12*$B$12)+IF($G$37&lt;=D1,$G$40,0)</f>
        <v>-7200</v>
      </c>
      <c r="E12" s="4">
        <f t="shared" si="8"/>
        <v>-7200</v>
      </c>
      <c r="F12" s="4">
        <f t="shared" si="8"/>
        <v>-7200</v>
      </c>
      <c r="G12" s="4">
        <f t="shared" si="8"/>
        <v>-7200</v>
      </c>
      <c r="H12" s="4">
        <f t="shared" si="8"/>
        <v>-7200</v>
      </c>
      <c r="I12" s="4">
        <f t="shared" si="8"/>
        <v>-7200</v>
      </c>
      <c r="J12" s="4">
        <f t="shared" si="8"/>
        <v>-7200</v>
      </c>
      <c r="K12" s="4">
        <f t="shared" si="8"/>
        <v>0</v>
      </c>
      <c r="L12" s="4">
        <f t="shared" si="8"/>
        <v>0</v>
      </c>
      <c r="M12" s="4">
        <f t="shared" si="8"/>
        <v>0</v>
      </c>
      <c r="N12" s="4">
        <f t="shared" si="8"/>
        <v>0</v>
      </c>
      <c r="O12" s="4">
        <f t="shared" si="8"/>
        <v>0</v>
      </c>
      <c r="P12" s="4">
        <f t="shared" si="8"/>
        <v>0</v>
      </c>
      <c r="Q12" s="4">
        <f t="shared" si="8"/>
        <v>0</v>
      </c>
      <c r="R12" s="4">
        <f t="shared" si="8"/>
        <v>0</v>
      </c>
      <c r="S12" s="4">
        <f t="shared" si="8"/>
        <v>0</v>
      </c>
      <c r="T12" s="4">
        <f t="shared" si="8"/>
        <v>0</v>
      </c>
      <c r="U12" s="4">
        <f t="shared" si="8"/>
        <v>0</v>
      </c>
      <c r="V12" s="4">
        <f t="shared" si="8"/>
        <v>0</v>
      </c>
      <c r="W12" s="4">
        <f t="shared" si="8"/>
        <v>0</v>
      </c>
      <c r="X12" s="4">
        <f t="shared" si="8"/>
        <v>0</v>
      </c>
      <c r="Y12" s="4">
        <f t="shared" si="8"/>
        <v>0</v>
      </c>
      <c r="Z12" s="4">
        <f t="shared" si="8"/>
        <v>0</v>
      </c>
    </row>
    <row r="13" spans="1:26">
      <c r="A13" s="11" t="s">
        <v>15</v>
      </c>
      <c r="B13" s="12"/>
      <c r="C13" s="13">
        <f t="shared" ref="C13:Z13" si="9">SUM(C5:C12)</f>
        <v>508500</v>
      </c>
      <c r="D13" s="13">
        <f t="shared" si="9"/>
        <v>135600</v>
      </c>
      <c r="E13" s="13">
        <f t="shared" si="9"/>
        <v>135600</v>
      </c>
      <c r="F13" s="13">
        <f t="shared" si="9"/>
        <v>135600</v>
      </c>
      <c r="G13" s="13">
        <f t="shared" si="9"/>
        <v>135600</v>
      </c>
      <c r="H13" s="13">
        <f t="shared" si="9"/>
        <v>135600</v>
      </c>
      <c r="I13" s="13">
        <f t="shared" si="9"/>
        <v>135600</v>
      </c>
      <c r="J13" s="13">
        <f t="shared" si="9"/>
        <v>135600</v>
      </c>
      <c r="K13" s="13">
        <f t="shared" si="9"/>
        <v>108000</v>
      </c>
      <c r="L13" s="13">
        <f t="shared" si="9"/>
        <v>108000</v>
      </c>
      <c r="M13" s="13">
        <f t="shared" si="9"/>
        <v>108000</v>
      </c>
      <c r="N13" s="13">
        <f t="shared" si="9"/>
        <v>108000</v>
      </c>
      <c r="O13" s="13">
        <f t="shared" si="9"/>
        <v>90000</v>
      </c>
      <c r="P13" s="13">
        <f t="shared" si="9"/>
        <v>90000</v>
      </c>
      <c r="Q13" s="13">
        <f t="shared" si="9"/>
        <v>90000</v>
      </c>
      <c r="R13" s="13">
        <f t="shared" si="9"/>
        <v>90000</v>
      </c>
      <c r="S13" s="13">
        <f t="shared" si="9"/>
        <v>90000</v>
      </c>
      <c r="T13" s="13">
        <f t="shared" si="9"/>
        <v>90000</v>
      </c>
      <c r="U13" s="13">
        <f t="shared" si="9"/>
        <v>90000</v>
      </c>
      <c r="V13" s="13">
        <f t="shared" si="9"/>
        <v>90000</v>
      </c>
      <c r="W13" s="13">
        <f t="shared" si="9"/>
        <v>90000</v>
      </c>
      <c r="X13" s="13">
        <f t="shared" si="9"/>
        <v>90000</v>
      </c>
      <c r="Y13" s="13">
        <f t="shared" si="9"/>
        <v>90000</v>
      </c>
      <c r="Z13" s="13">
        <f t="shared" si="9"/>
        <v>90000</v>
      </c>
    </row>
    <row r="14" spans="1:26">
      <c r="A14" s="9" t="s">
        <v>11</v>
      </c>
      <c r="B14" s="10"/>
      <c r="C14" s="4"/>
      <c r="D14" s="4"/>
      <c r="E14" s="4"/>
      <c r="F14" s="4"/>
      <c r="G14" s="4"/>
      <c r="H14" s="4"/>
      <c r="I14" s="4"/>
      <c r="J14" s="4"/>
      <c r="K14" s="4"/>
      <c r="L14" s="4"/>
      <c r="M14" s="4"/>
      <c r="N14" s="4"/>
      <c r="O14" s="4"/>
      <c r="P14" s="4"/>
      <c r="Q14" s="4"/>
      <c r="R14" s="4"/>
      <c r="S14" s="4"/>
      <c r="T14" s="4"/>
      <c r="U14" s="4"/>
      <c r="V14" s="4"/>
      <c r="W14" s="4"/>
      <c r="X14" s="4"/>
      <c r="Y14" s="4"/>
      <c r="Z14" s="4"/>
    </row>
    <row r="15" spans="1:26">
      <c r="A15" s="8" t="s">
        <v>12</v>
      </c>
      <c r="B15" s="10"/>
      <c r="C15" s="4">
        <f t="shared" ref="C15:Z15" si="10">+IF($B$38=C1,$B$39,0)</f>
        <v>-80000</v>
      </c>
      <c r="D15" s="4">
        <f t="shared" si="10"/>
        <v>0</v>
      </c>
      <c r="E15" s="4">
        <f t="shared" si="10"/>
        <v>0</v>
      </c>
      <c r="F15" s="4">
        <f t="shared" si="10"/>
        <v>0</v>
      </c>
      <c r="G15" s="4">
        <f t="shared" si="10"/>
        <v>0</v>
      </c>
      <c r="H15" s="4">
        <f t="shared" si="10"/>
        <v>0</v>
      </c>
      <c r="I15" s="4">
        <f t="shared" si="10"/>
        <v>0</v>
      </c>
      <c r="J15" s="4">
        <f t="shared" si="10"/>
        <v>0</v>
      </c>
      <c r="K15" s="4">
        <f t="shared" si="10"/>
        <v>0</v>
      </c>
      <c r="L15" s="4">
        <f t="shared" si="10"/>
        <v>0</v>
      </c>
      <c r="M15" s="4">
        <f t="shared" si="10"/>
        <v>0</v>
      </c>
      <c r="N15" s="4">
        <f t="shared" si="10"/>
        <v>0</v>
      </c>
      <c r="O15" s="4">
        <f t="shared" si="10"/>
        <v>0</v>
      </c>
      <c r="P15" s="4">
        <f t="shared" si="10"/>
        <v>0</v>
      </c>
      <c r="Q15" s="4">
        <f t="shared" si="10"/>
        <v>0</v>
      </c>
      <c r="R15" s="4">
        <f t="shared" si="10"/>
        <v>0</v>
      </c>
      <c r="S15" s="4">
        <f t="shared" si="10"/>
        <v>0</v>
      </c>
      <c r="T15" s="4">
        <f t="shared" si="10"/>
        <v>0</v>
      </c>
      <c r="U15" s="4">
        <f t="shared" si="10"/>
        <v>0</v>
      </c>
      <c r="V15" s="4">
        <f t="shared" si="10"/>
        <v>0</v>
      </c>
      <c r="W15" s="4">
        <f t="shared" si="10"/>
        <v>0</v>
      </c>
      <c r="X15" s="4">
        <f t="shared" si="10"/>
        <v>0</v>
      </c>
      <c r="Y15" s="4">
        <f t="shared" si="10"/>
        <v>0</v>
      </c>
      <c r="Z15" s="4">
        <f t="shared" si="10"/>
        <v>0</v>
      </c>
    </row>
    <row r="16" spans="1:26">
      <c r="A16" s="8" t="s">
        <v>13</v>
      </c>
      <c r="B16" s="10"/>
      <c r="C16" s="4">
        <f t="shared" ref="C16:Z16" si="11">IF($B$33=C1,$B$41,0)+IF($B$33&lt;C1,$B$42,0)</f>
        <v>-80000</v>
      </c>
      <c r="D16" s="4">
        <f t="shared" si="11"/>
        <v>12000</v>
      </c>
      <c r="E16" s="4">
        <f t="shared" si="11"/>
        <v>12000</v>
      </c>
      <c r="F16" s="4">
        <f t="shared" si="11"/>
        <v>12000</v>
      </c>
      <c r="G16" s="4">
        <f t="shared" si="11"/>
        <v>12000</v>
      </c>
      <c r="H16" s="4">
        <f t="shared" si="11"/>
        <v>12000</v>
      </c>
      <c r="I16" s="4">
        <f t="shared" si="11"/>
        <v>12000</v>
      </c>
      <c r="J16" s="4">
        <f t="shared" si="11"/>
        <v>12000</v>
      </c>
      <c r="K16" s="4">
        <f t="shared" si="11"/>
        <v>12000</v>
      </c>
      <c r="L16" s="4">
        <f t="shared" si="11"/>
        <v>12000</v>
      </c>
      <c r="M16" s="4">
        <f t="shared" si="11"/>
        <v>12000</v>
      </c>
      <c r="N16" s="4">
        <f t="shared" si="11"/>
        <v>12000</v>
      </c>
      <c r="O16" s="4">
        <f t="shared" si="11"/>
        <v>12000</v>
      </c>
      <c r="P16" s="4">
        <f t="shared" si="11"/>
        <v>12000</v>
      </c>
      <c r="Q16" s="4">
        <f t="shared" si="11"/>
        <v>12000</v>
      </c>
      <c r="R16" s="4">
        <f t="shared" si="11"/>
        <v>12000</v>
      </c>
      <c r="S16" s="4">
        <f t="shared" si="11"/>
        <v>12000</v>
      </c>
      <c r="T16" s="4">
        <f t="shared" si="11"/>
        <v>12000</v>
      </c>
      <c r="U16" s="4">
        <f t="shared" si="11"/>
        <v>12000</v>
      </c>
      <c r="V16" s="4">
        <f t="shared" si="11"/>
        <v>12000</v>
      </c>
      <c r="W16" s="4">
        <f t="shared" si="11"/>
        <v>12000</v>
      </c>
      <c r="X16" s="4">
        <f t="shared" si="11"/>
        <v>12000</v>
      </c>
      <c r="Y16" s="4">
        <f t="shared" si="11"/>
        <v>12000</v>
      </c>
      <c r="Z16" s="4">
        <f t="shared" si="11"/>
        <v>12000</v>
      </c>
    </row>
    <row r="17" spans="1:26">
      <c r="A17" s="8" t="s">
        <v>14</v>
      </c>
      <c r="B17" s="10"/>
      <c r="C17" s="4">
        <f t="shared" ref="C17:Z17" si="12">IF($B$33=C1,$G$41/2,0)+IF($B$33&lt;C1,$G$42+$G$43,0)+IF(($B$33+10)&lt;C1,$G$42-$G$42-$G$43,0)</f>
        <v>-50000</v>
      </c>
      <c r="D17" s="4">
        <f t="shared" si="12"/>
        <v>250.00000000000091</v>
      </c>
      <c r="E17" s="4">
        <f t="shared" si="12"/>
        <v>250.00000000000091</v>
      </c>
      <c r="F17" s="4">
        <f t="shared" si="12"/>
        <v>250.00000000000091</v>
      </c>
      <c r="G17" s="4">
        <f t="shared" si="12"/>
        <v>250.00000000000091</v>
      </c>
      <c r="H17" s="4">
        <f t="shared" si="12"/>
        <v>250.00000000000091</v>
      </c>
      <c r="I17" s="4">
        <f t="shared" si="12"/>
        <v>250.00000000000091</v>
      </c>
      <c r="J17" s="4">
        <f t="shared" si="12"/>
        <v>250.00000000000091</v>
      </c>
      <c r="K17" s="4">
        <f t="shared" si="12"/>
        <v>250.00000000000091</v>
      </c>
      <c r="L17" s="4">
        <f t="shared" si="12"/>
        <v>250.00000000000091</v>
      </c>
      <c r="M17" s="4">
        <f t="shared" si="12"/>
        <v>250.00000000000091</v>
      </c>
      <c r="N17" s="4">
        <f t="shared" si="12"/>
        <v>5250.0000000000009</v>
      </c>
      <c r="O17" s="4">
        <f t="shared" si="12"/>
        <v>5250.0000000000009</v>
      </c>
      <c r="P17" s="4">
        <f t="shared" si="12"/>
        <v>5250.0000000000009</v>
      </c>
      <c r="Q17" s="4">
        <f t="shared" si="12"/>
        <v>5250.0000000000009</v>
      </c>
      <c r="R17" s="4">
        <f t="shared" si="12"/>
        <v>5250.0000000000009</v>
      </c>
      <c r="S17" s="4">
        <f t="shared" si="12"/>
        <v>5250.0000000000009</v>
      </c>
      <c r="T17" s="4">
        <f t="shared" si="12"/>
        <v>5250.0000000000009</v>
      </c>
      <c r="U17" s="4">
        <f t="shared" si="12"/>
        <v>5250.0000000000009</v>
      </c>
      <c r="V17" s="4">
        <f t="shared" si="12"/>
        <v>5250.0000000000009</v>
      </c>
      <c r="W17" s="4">
        <f t="shared" si="12"/>
        <v>5250.0000000000009</v>
      </c>
      <c r="X17" s="4">
        <f t="shared" si="12"/>
        <v>5250.0000000000009</v>
      </c>
      <c r="Y17" s="4">
        <f t="shared" si="12"/>
        <v>5250.0000000000009</v>
      </c>
      <c r="Z17" s="4">
        <f t="shared" si="12"/>
        <v>5250.0000000000009</v>
      </c>
    </row>
    <row r="18" spans="1:26">
      <c r="A18" s="14" t="s">
        <v>16</v>
      </c>
      <c r="B18" s="10"/>
      <c r="C18" s="4">
        <f>-C13*$B$37</f>
        <v>-193230</v>
      </c>
      <c r="D18" s="4">
        <f t="shared" ref="D18:Z18" si="13">-D13*$B$37</f>
        <v>-51528</v>
      </c>
      <c r="E18" s="4">
        <f t="shared" si="13"/>
        <v>-51528</v>
      </c>
      <c r="F18" s="4">
        <f t="shared" si="13"/>
        <v>-51528</v>
      </c>
      <c r="G18" s="4">
        <f t="shared" si="13"/>
        <v>-51528</v>
      </c>
      <c r="H18" s="4">
        <f t="shared" si="13"/>
        <v>-51528</v>
      </c>
      <c r="I18" s="4">
        <f t="shared" si="13"/>
        <v>-51528</v>
      </c>
      <c r="J18" s="4">
        <f t="shared" si="13"/>
        <v>-51528</v>
      </c>
      <c r="K18" s="4">
        <f t="shared" si="13"/>
        <v>-41040</v>
      </c>
      <c r="L18" s="4">
        <f t="shared" si="13"/>
        <v>-41040</v>
      </c>
      <c r="M18" s="4">
        <f t="shared" si="13"/>
        <v>-41040</v>
      </c>
      <c r="N18" s="4">
        <f t="shared" si="13"/>
        <v>-41040</v>
      </c>
      <c r="O18" s="4">
        <f t="shared" si="13"/>
        <v>-34200</v>
      </c>
      <c r="P18" s="4">
        <f t="shared" si="13"/>
        <v>-34200</v>
      </c>
      <c r="Q18" s="4">
        <f t="shared" si="13"/>
        <v>-34200</v>
      </c>
      <c r="R18" s="4">
        <f t="shared" si="13"/>
        <v>-34200</v>
      </c>
      <c r="S18" s="4">
        <f t="shared" si="13"/>
        <v>-34200</v>
      </c>
      <c r="T18" s="4">
        <f t="shared" si="13"/>
        <v>-34200</v>
      </c>
      <c r="U18" s="4">
        <f t="shared" si="13"/>
        <v>-34200</v>
      </c>
      <c r="V18" s="4">
        <f t="shared" si="13"/>
        <v>-34200</v>
      </c>
      <c r="W18" s="4">
        <f t="shared" si="13"/>
        <v>-34200</v>
      </c>
      <c r="X18" s="4">
        <f t="shared" si="13"/>
        <v>-34200</v>
      </c>
      <c r="Y18" s="4">
        <f t="shared" si="13"/>
        <v>-34200</v>
      </c>
      <c r="Z18" s="4">
        <f t="shared" si="13"/>
        <v>-34200</v>
      </c>
    </row>
    <row r="19" spans="1:26">
      <c r="A19" s="15" t="s">
        <v>17</v>
      </c>
      <c r="B19" s="10"/>
      <c r="C19" s="4">
        <f>-SUM(C13:C17)*$B$37</f>
        <v>-113430</v>
      </c>
      <c r="D19" s="4">
        <f t="shared" ref="D19:Z19" si="14">-SUM(D13:D17)*$B$37</f>
        <v>-56183</v>
      </c>
      <c r="E19" s="4">
        <f t="shared" si="14"/>
        <v>-56183</v>
      </c>
      <c r="F19" s="4">
        <f t="shared" si="14"/>
        <v>-56183</v>
      </c>
      <c r="G19" s="4">
        <f t="shared" si="14"/>
        <v>-56183</v>
      </c>
      <c r="H19" s="4">
        <f t="shared" si="14"/>
        <v>-56183</v>
      </c>
      <c r="I19" s="4">
        <f t="shared" si="14"/>
        <v>-56183</v>
      </c>
      <c r="J19" s="4">
        <f t="shared" si="14"/>
        <v>-56183</v>
      </c>
      <c r="K19" s="4">
        <f t="shared" si="14"/>
        <v>-45695</v>
      </c>
      <c r="L19" s="4">
        <f t="shared" si="14"/>
        <v>-45695</v>
      </c>
      <c r="M19" s="4">
        <f t="shared" si="14"/>
        <v>-45695</v>
      </c>
      <c r="N19" s="4">
        <f t="shared" si="14"/>
        <v>-47595</v>
      </c>
      <c r="O19" s="4">
        <f t="shared" si="14"/>
        <v>-40755</v>
      </c>
      <c r="P19" s="4">
        <f t="shared" si="14"/>
        <v>-40755</v>
      </c>
      <c r="Q19" s="4">
        <f t="shared" si="14"/>
        <v>-40755</v>
      </c>
      <c r="R19" s="4">
        <f t="shared" si="14"/>
        <v>-40755</v>
      </c>
      <c r="S19" s="4">
        <f t="shared" si="14"/>
        <v>-40755</v>
      </c>
      <c r="T19" s="4">
        <f t="shared" si="14"/>
        <v>-40755</v>
      </c>
      <c r="U19" s="4">
        <f t="shared" si="14"/>
        <v>-40755</v>
      </c>
      <c r="V19" s="4">
        <f t="shared" si="14"/>
        <v>-40755</v>
      </c>
      <c r="W19" s="4">
        <f t="shared" si="14"/>
        <v>-40755</v>
      </c>
      <c r="X19" s="4">
        <f t="shared" si="14"/>
        <v>-40755</v>
      </c>
      <c r="Y19" s="4">
        <f t="shared" si="14"/>
        <v>-40755</v>
      </c>
      <c r="Z19" s="4">
        <f t="shared" si="14"/>
        <v>-40755</v>
      </c>
    </row>
    <row r="20" spans="1:26">
      <c r="A20" s="14" t="s">
        <v>18</v>
      </c>
      <c r="B20" s="55">
        <f>'Erklärung - Situation'!C13</f>
        <v>-3500</v>
      </c>
      <c r="C20" s="4">
        <f>(-(12-$B$32)*$B$20)*-1</f>
        <v>-24500</v>
      </c>
      <c r="D20" s="4">
        <f t="shared" ref="D20:Z20" si="15">(-12*$B$20)*-1</f>
        <v>-42000</v>
      </c>
      <c r="E20" s="4">
        <f t="shared" si="15"/>
        <v>-42000</v>
      </c>
      <c r="F20" s="4">
        <f t="shared" si="15"/>
        <v>-42000</v>
      </c>
      <c r="G20" s="4">
        <f t="shared" si="15"/>
        <v>-42000</v>
      </c>
      <c r="H20" s="4">
        <f t="shared" si="15"/>
        <v>-42000</v>
      </c>
      <c r="I20" s="4">
        <f t="shared" si="15"/>
        <v>-42000</v>
      </c>
      <c r="J20" s="4">
        <f t="shared" si="15"/>
        <v>-42000</v>
      </c>
      <c r="K20" s="4">
        <f t="shared" si="15"/>
        <v>-42000</v>
      </c>
      <c r="L20" s="4">
        <f t="shared" si="15"/>
        <v>-42000</v>
      </c>
      <c r="M20" s="4">
        <f t="shared" si="15"/>
        <v>-42000</v>
      </c>
      <c r="N20" s="4">
        <f t="shared" si="15"/>
        <v>-42000</v>
      </c>
      <c r="O20" s="4">
        <f t="shared" si="15"/>
        <v>-42000</v>
      </c>
      <c r="P20" s="4">
        <f t="shared" si="15"/>
        <v>-42000</v>
      </c>
      <c r="Q20" s="4">
        <f t="shared" si="15"/>
        <v>-42000</v>
      </c>
      <c r="R20" s="4">
        <f t="shared" si="15"/>
        <v>-42000</v>
      </c>
      <c r="S20" s="4">
        <f t="shared" si="15"/>
        <v>-42000</v>
      </c>
      <c r="T20" s="4">
        <f t="shared" si="15"/>
        <v>-42000</v>
      </c>
      <c r="U20" s="4">
        <f t="shared" si="15"/>
        <v>-42000</v>
      </c>
      <c r="V20" s="4">
        <f t="shared" si="15"/>
        <v>-42000</v>
      </c>
      <c r="W20" s="4">
        <f t="shared" si="15"/>
        <v>-42000</v>
      </c>
      <c r="X20" s="4">
        <f t="shared" si="15"/>
        <v>-42000</v>
      </c>
      <c r="Y20" s="4">
        <f t="shared" si="15"/>
        <v>-42000</v>
      </c>
      <c r="Z20" s="4">
        <f t="shared" si="15"/>
        <v>-42000</v>
      </c>
    </row>
    <row r="21" spans="1:26">
      <c r="A21" s="16" t="s">
        <v>19</v>
      </c>
      <c r="B21" s="56">
        <f>'Erklärung - Situation'!C14</f>
        <v>-800</v>
      </c>
      <c r="C21" s="6">
        <f>(12-$B$32)*IF($G$33&lt;=C1,$G$36,$B$21)</f>
        <v>-5600</v>
      </c>
      <c r="D21" s="6">
        <f t="shared" ref="D21:Z21" si="16">IF($G$33&lt;=D1,$G$36,12*$B$21)</f>
        <v>-9600</v>
      </c>
      <c r="E21" s="6">
        <f t="shared" si="16"/>
        <v>-9600</v>
      </c>
      <c r="F21" s="6">
        <f t="shared" si="16"/>
        <v>-9600</v>
      </c>
      <c r="G21" s="6">
        <f t="shared" si="16"/>
        <v>-9600</v>
      </c>
      <c r="H21" s="6">
        <f t="shared" si="16"/>
        <v>-9600</v>
      </c>
      <c r="I21" s="6">
        <f t="shared" si="16"/>
        <v>-9600</v>
      </c>
      <c r="J21" s="6">
        <f t="shared" si="16"/>
        <v>-9600</v>
      </c>
      <c r="K21" s="6">
        <f t="shared" si="16"/>
        <v>0</v>
      </c>
      <c r="L21" s="6">
        <f t="shared" si="16"/>
        <v>0</v>
      </c>
      <c r="M21" s="6">
        <f t="shared" si="16"/>
        <v>0</v>
      </c>
      <c r="N21" s="6">
        <f t="shared" si="16"/>
        <v>0</v>
      </c>
      <c r="O21" s="6">
        <f t="shared" si="16"/>
        <v>0</v>
      </c>
      <c r="P21" s="6">
        <f t="shared" si="16"/>
        <v>0</v>
      </c>
      <c r="Q21" s="6">
        <f t="shared" si="16"/>
        <v>0</v>
      </c>
      <c r="R21" s="6">
        <f t="shared" si="16"/>
        <v>0</v>
      </c>
      <c r="S21" s="6">
        <f t="shared" si="16"/>
        <v>0</v>
      </c>
      <c r="T21" s="6">
        <f t="shared" si="16"/>
        <v>0</v>
      </c>
      <c r="U21" s="6">
        <f t="shared" si="16"/>
        <v>0</v>
      </c>
      <c r="V21" s="6">
        <f t="shared" si="16"/>
        <v>0</v>
      </c>
      <c r="W21" s="6">
        <f t="shared" si="16"/>
        <v>0</v>
      </c>
      <c r="X21" s="6">
        <f t="shared" si="16"/>
        <v>0</v>
      </c>
      <c r="Y21" s="6">
        <f t="shared" si="16"/>
        <v>0</v>
      </c>
      <c r="Z21" s="6">
        <f t="shared" si="16"/>
        <v>0</v>
      </c>
    </row>
    <row r="22" spans="1:26">
      <c r="A22" s="15" t="s">
        <v>20</v>
      </c>
      <c r="B22" s="55">
        <f>'Erklärung - Situation'!C15</f>
        <v>-800</v>
      </c>
      <c r="C22" s="4">
        <f>(12-$B$32)*IF($G$37&lt;=C1,$G$40,$B$22)</f>
        <v>-5600</v>
      </c>
      <c r="D22" s="4">
        <f t="shared" ref="D22:Z22" si="17">IF($G$37&lt;=D1,$G$40,12*$B$22)</f>
        <v>-9600</v>
      </c>
      <c r="E22" s="4">
        <f t="shared" si="17"/>
        <v>-9600</v>
      </c>
      <c r="F22" s="4">
        <f t="shared" si="17"/>
        <v>-9600</v>
      </c>
      <c r="G22" s="4">
        <f t="shared" si="17"/>
        <v>-9600</v>
      </c>
      <c r="H22" s="4">
        <f t="shared" si="17"/>
        <v>-9600</v>
      </c>
      <c r="I22" s="4">
        <f t="shared" si="17"/>
        <v>-9600</v>
      </c>
      <c r="J22" s="4">
        <f t="shared" si="17"/>
        <v>-9600</v>
      </c>
      <c r="K22" s="4">
        <f t="shared" si="17"/>
        <v>-9600</v>
      </c>
      <c r="L22" s="4">
        <f t="shared" si="17"/>
        <v>-9600</v>
      </c>
      <c r="M22" s="4">
        <f t="shared" si="17"/>
        <v>-9600</v>
      </c>
      <c r="N22" s="4">
        <f t="shared" si="17"/>
        <v>-9600</v>
      </c>
      <c r="O22" s="4">
        <f t="shared" si="17"/>
        <v>0</v>
      </c>
      <c r="P22" s="4">
        <f t="shared" si="17"/>
        <v>0</v>
      </c>
      <c r="Q22" s="4">
        <f t="shared" si="17"/>
        <v>0</v>
      </c>
      <c r="R22" s="4">
        <f t="shared" si="17"/>
        <v>0</v>
      </c>
      <c r="S22" s="4">
        <f t="shared" si="17"/>
        <v>0</v>
      </c>
      <c r="T22" s="4">
        <f t="shared" si="17"/>
        <v>0</v>
      </c>
      <c r="U22" s="4">
        <f t="shared" si="17"/>
        <v>0</v>
      </c>
      <c r="V22" s="4">
        <f t="shared" si="17"/>
        <v>0</v>
      </c>
      <c r="W22" s="4">
        <f t="shared" si="17"/>
        <v>0</v>
      </c>
      <c r="X22" s="4">
        <f t="shared" si="17"/>
        <v>0</v>
      </c>
      <c r="Y22" s="4">
        <f t="shared" si="17"/>
        <v>0</v>
      </c>
      <c r="Z22" s="4">
        <f t="shared" si="17"/>
        <v>0</v>
      </c>
    </row>
    <row r="23" spans="1:26">
      <c r="A23" s="15" t="s">
        <v>21</v>
      </c>
      <c r="B23" s="10"/>
      <c r="C23" s="4">
        <f t="shared" ref="C23:Z23" si="18">+IF($G$33=C1,$G$34,0)+IF($G$37=C1,$G$38,0)</f>
        <v>0</v>
      </c>
      <c r="D23" s="4">
        <f t="shared" si="18"/>
        <v>0</v>
      </c>
      <c r="E23" s="4">
        <f t="shared" si="18"/>
        <v>0</v>
      </c>
      <c r="F23" s="4">
        <f t="shared" si="18"/>
        <v>0</v>
      </c>
      <c r="G23" s="4">
        <f t="shared" si="18"/>
        <v>0</v>
      </c>
      <c r="H23" s="4">
        <f t="shared" si="18"/>
        <v>0</v>
      </c>
      <c r="I23" s="4">
        <f t="shared" si="18"/>
        <v>0</v>
      </c>
      <c r="J23" s="4">
        <f t="shared" si="18"/>
        <v>0</v>
      </c>
      <c r="K23" s="4">
        <f t="shared" si="18"/>
        <v>230000</v>
      </c>
      <c r="L23" s="4">
        <f t="shared" si="18"/>
        <v>0</v>
      </c>
      <c r="M23" s="4">
        <f t="shared" si="18"/>
        <v>0</v>
      </c>
      <c r="N23" s="4">
        <f t="shared" si="18"/>
        <v>0</v>
      </c>
      <c r="O23" s="4">
        <f t="shared" si="18"/>
        <v>260000</v>
      </c>
      <c r="P23" s="4">
        <f t="shared" si="18"/>
        <v>0</v>
      </c>
      <c r="Q23" s="4">
        <f t="shared" si="18"/>
        <v>0</v>
      </c>
      <c r="R23" s="4">
        <f t="shared" si="18"/>
        <v>0</v>
      </c>
      <c r="S23" s="4">
        <f t="shared" si="18"/>
        <v>0</v>
      </c>
      <c r="T23" s="4">
        <f t="shared" si="18"/>
        <v>0</v>
      </c>
      <c r="U23" s="4">
        <f t="shared" si="18"/>
        <v>0</v>
      </c>
      <c r="V23" s="4">
        <f t="shared" si="18"/>
        <v>0</v>
      </c>
      <c r="W23" s="4">
        <f t="shared" si="18"/>
        <v>0</v>
      </c>
      <c r="X23" s="4">
        <f t="shared" si="18"/>
        <v>0</v>
      </c>
      <c r="Y23" s="4">
        <f t="shared" si="18"/>
        <v>0</v>
      </c>
      <c r="Z23" s="4">
        <f t="shared" si="18"/>
        <v>0</v>
      </c>
    </row>
    <row r="24" spans="1:26">
      <c r="A24" s="15" t="s">
        <v>22</v>
      </c>
      <c r="B24" s="10"/>
      <c r="C24" s="4">
        <f>IF($B$33&lt;C1,-$G$43,0)+IF(($B$33+10)&lt;C1,$G$43,0)</f>
        <v>0</v>
      </c>
      <c r="D24" s="4">
        <f t="shared" ref="D24:Z24" si="19">IF($B$33=D1,$G$41/2,0)+IF($B$33&lt;D1,-$G$43,0)+IF(($B$33+10)&lt;D1,$G$43,0)</f>
        <v>5000</v>
      </c>
      <c r="E24" s="4">
        <f t="shared" si="19"/>
        <v>5000</v>
      </c>
      <c r="F24" s="4">
        <f t="shared" si="19"/>
        <v>5000</v>
      </c>
      <c r="G24" s="4">
        <f t="shared" si="19"/>
        <v>5000</v>
      </c>
      <c r="H24" s="4">
        <f t="shared" si="19"/>
        <v>5000</v>
      </c>
      <c r="I24" s="4">
        <f t="shared" si="19"/>
        <v>5000</v>
      </c>
      <c r="J24" s="4">
        <f t="shared" si="19"/>
        <v>5000</v>
      </c>
      <c r="K24" s="4">
        <f t="shared" si="19"/>
        <v>5000</v>
      </c>
      <c r="L24" s="4">
        <f t="shared" si="19"/>
        <v>5000</v>
      </c>
      <c r="M24" s="4">
        <f t="shared" si="19"/>
        <v>5000</v>
      </c>
      <c r="N24" s="4">
        <f t="shared" si="19"/>
        <v>0</v>
      </c>
      <c r="O24" s="4">
        <f t="shared" si="19"/>
        <v>0</v>
      </c>
      <c r="P24" s="4">
        <f t="shared" si="19"/>
        <v>0</v>
      </c>
      <c r="Q24" s="4">
        <f t="shared" si="19"/>
        <v>0</v>
      </c>
      <c r="R24" s="4">
        <f t="shared" si="19"/>
        <v>0</v>
      </c>
      <c r="S24" s="4">
        <f t="shared" si="19"/>
        <v>0</v>
      </c>
      <c r="T24" s="4">
        <f t="shared" si="19"/>
        <v>0</v>
      </c>
      <c r="U24" s="4">
        <f t="shared" si="19"/>
        <v>0</v>
      </c>
      <c r="V24" s="4">
        <f t="shared" si="19"/>
        <v>0</v>
      </c>
      <c r="W24" s="4">
        <f t="shared" si="19"/>
        <v>0</v>
      </c>
      <c r="X24" s="4">
        <f t="shared" si="19"/>
        <v>0</v>
      </c>
      <c r="Y24" s="4">
        <f t="shared" si="19"/>
        <v>0</v>
      </c>
      <c r="Z24" s="4">
        <f t="shared" si="19"/>
        <v>0</v>
      </c>
    </row>
    <row r="25" spans="1:26">
      <c r="A25" s="11" t="s">
        <v>23</v>
      </c>
      <c r="B25" s="57">
        <f>'Erklärung - Situation'!C16</f>
        <v>1500</v>
      </c>
      <c r="C25" s="13">
        <f>(12-$B$32)*B25</f>
        <v>10500</v>
      </c>
      <c r="D25" s="13">
        <f>12*$B$25</f>
        <v>18000</v>
      </c>
      <c r="E25" s="13">
        <f t="shared" ref="E25:Z25" si="20">12*$B$25</f>
        <v>18000</v>
      </c>
      <c r="F25" s="13">
        <f t="shared" si="20"/>
        <v>18000</v>
      </c>
      <c r="G25" s="13">
        <f t="shared" si="20"/>
        <v>18000</v>
      </c>
      <c r="H25" s="13">
        <f t="shared" si="20"/>
        <v>18000</v>
      </c>
      <c r="I25" s="13">
        <f t="shared" si="20"/>
        <v>18000</v>
      </c>
      <c r="J25" s="13">
        <f t="shared" si="20"/>
        <v>18000</v>
      </c>
      <c r="K25" s="13">
        <f t="shared" si="20"/>
        <v>18000</v>
      </c>
      <c r="L25" s="13">
        <f t="shared" si="20"/>
        <v>18000</v>
      </c>
      <c r="M25" s="13">
        <f t="shared" si="20"/>
        <v>18000</v>
      </c>
      <c r="N25" s="13">
        <f t="shared" si="20"/>
        <v>18000</v>
      </c>
      <c r="O25" s="13">
        <f t="shared" si="20"/>
        <v>18000</v>
      </c>
      <c r="P25" s="13">
        <f t="shared" si="20"/>
        <v>18000</v>
      </c>
      <c r="Q25" s="13">
        <f t="shared" si="20"/>
        <v>18000</v>
      </c>
      <c r="R25" s="13">
        <f t="shared" si="20"/>
        <v>18000</v>
      </c>
      <c r="S25" s="13">
        <f t="shared" si="20"/>
        <v>18000</v>
      </c>
      <c r="T25" s="13">
        <f t="shared" si="20"/>
        <v>18000</v>
      </c>
      <c r="U25" s="13">
        <f t="shared" si="20"/>
        <v>18000</v>
      </c>
      <c r="V25" s="13">
        <f t="shared" si="20"/>
        <v>18000</v>
      </c>
      <c r="W25" s="13">
        <f t="shared" si="20"/>
        <v>18000</v>
      </c>
      <c r="X25" s="13">
        <f t="shared" si="20"/>
        <v>18000</v>
      </c>
      <c r="Y25" s="13">
        <f t="shared" si="20"/>
        <v>18000</v>
      </c>
      <c r="Z25" s="13">
        <f t="shared" si="20"/>
        <v>18000</v>
      </c>
    </row>
    <row r="26" spans="1:26">
      <c r="A26" s="17" t="s">
        <v>24</v>
      </c>
      <c r="B26" s="18"/>
      <c r="C26" s="6">
        <f>-C25*25%</f>
        <v>-2625</v>
      </c>
      <c r="D26" s="6">
        <f t="shared" ref="D26:Z26" si="21">-D25*25%</f>
        <v>-4500</v>
      </c>
      <c r="E26" s="6">
        <f t="shared" si="21"/>
        <v>-4500</v>
      </c>
      <c r="F26" s="6">
        <f t="shared" si="21"/>
        <v>-4500</v>
      </c>
      <c r="G26" s="6">
        <f t="shared" si="21"/>
        <v>-4500</v>
      </c>
      <c r="H26" s="6">
        <f t="shared" si="21"/>
        <v>-4500</v>
      </c>
      <c r="I26" s="6">
        <f t="shared" si="21"/>
        <v>-4500</v>
      </c>
      <c r="J26" s="6">
        <f t="shared" si="21"/>
        <v>-4500</v>
      </c>
      <c r="K26" s="6">
        <f t="shared" si="21"/>
        <v>-4500</v>
      </c>
      <c r="L26" s="6">
        <f t="shared" si="21"/>
        <v>-4500</v>
      </c>
      <c r="M26" s="6">
        <f t="shared" si="21"/>
        <v>-4500</v>
      </c>
      <c r="N26" s="6">
        <f t="shared" si="21"/>
        <v>-4500</v>
      </c>
      <c r="O26" s="6">
        <f t="shared" si="21"/>
        <v>-4500</v>
      </c>
      <c r="P26" s="6">
        <f t="shared" si="21"/>
        <v>-4500</v>
      </c>
      <c r="Q26" s="6">
        <f t="shared" si="21"/>
        <v>-4500</v>
      </c>
      <c r="R26" s="6">
        <f t="shared" si="21"/>
        <v>-4500</v>
      </c>
      <c r="S26" s="6">
        <f t="shared" si="21"/>
        <v>-4500</v>
      </c>
      <c r="T26" s="6">
        <f t="shared" si="21"/>
        <v>-4500</v>
      </c>
      <c r="U26" s="6">
        <f t="shared" si="21"/>
        <v>-4500</v>
      </c>
      <c r="V26" s="6">
        <f t="shared" si="21"/>
        <v>-4500</v>
      </c>
      <c r="W26" s="6">
        <f t="shared" si="21"/>
        <v>-4500</v>
      </c>
      <c r="X26" s="6">
        <f t="shared" si="21"/>
        <v>-4500</v>
      </c>
      <c r="Y26" s="6">
        <f t="shared" si="21"/>
        <v>-4500</v>
      </c>
      <c r="Z26" s="6">
        <f t="shared" si="21"/>
        <v>-4500</v>
      </c>
    </row>
    <row r="27" spans="1:26">
      <c r="A27" s="14" t="s">
        <v>0</v>
      </c>
      <c r="B27" s="19"/>
      <c r="C27" s="4">
        <f>C13+SUM(C19:C26)+SUM(C15:C17)</f>
        <v>157245</v>
      </c>
      <c r="D27" s="4">
        <f t="shared" ref="D27:Z27" si="22">D13+SUM(D19:D26)+SUM(D15:D17)</f>
        <v>48967</v>
      </c>
      <c r="E27" s="4">
        <f t="shared" si="22"/>
        <v>48967</v>
      </c>
      <c r="F27" s="4">
        <f t="shared" si="22"/>
        <v>48967</v>
      </c>
      <c r="G27" s="4">
        <f t="shared" si="22"/>
        <v>48967</v>
      </c>
      <c r="H27" s="4">
        <f t="shared" si="22"/>
        <v>48967</v>
      </c>
      <c r="I27" s="4">
        <f t="shared" si="22"/>
        <v>48967</v>
      </c>
      <c r="J27" s="4">
        <f t="shared" si="22"/>
        <v>48967</v>
      </c>
      <c r="K27" s="4">
        <f t="shared" si="22"/>
        <v>271455</v>
      </c>
      <c r="L27" s="4">
        <f t="shared" si="22"/>
        <v>41455</v>
      </c>
      <c r="M27" s="4">
        <f t="shared" si="22"/>
        <v>41455</v>
      </c>
      <c r="N27" s="4">
        <f t="shared" si="22"/>
        <v>39555</v>
      </c>
      <c r="O27" s="4">
        <f t="shared" si="22"/>
        <v>297995</v>
      </c>
      <c r="P27" s="4">
        <f t="shared" si="22"/>
        <v>37995</v>
      </c>
      <c r="Q27" s="4">
        <f t="shared" si="22"/>
        <v>37995</v>
      </c>
      <c r="R27" s="4">
        <f t="shared" si="22"/>
        <v>37995</v>
      </c>
      <c r="S27" s="4">
        <f t="shared" si="22"/>
        <v>37995</v>
      </c>
      <c r="T27" s="4">
        <f t="shared" si="22"/>
        <v>37995</v>
      </c>
      <c r="U27" s="4">
        <f t="shared" si="22"/>
        <v>37995</v>
      </c>
      <c r="V27" s="4">
        <f t="shared" si="22"/>
        <v>37995</v>
      </c>
      <c r="W27" s="4">
        <f t="shared" si="22"/>
        <v>37995</v>
      </c>
      <c r="X27" s="4">
        <f t="shared" si="22"/>
        <v>37995</v>
      </c>
      <c r="Y27" s="4">
        <f t="shared" si="22"/>
        <v>37995</v>
      </c>
      <c r="Z27" s="4">
        <f t="shared" si="22"/>
        <v>37995</v>
      </c>
    </row>
    <row r="28" spans="1:26">
      <c r="A28" s="14" t="s">
        <v>25</v>
      </c>
      <c r="B28" s="55">
        <f>'Erklärung - Situation'!C17</f>
        <v>250000</v>
      </c>
      <c r="C28" s="20">
        <f>C27+B28</f>
        <v>407245</v>
      </c>
      <c r="D28" s="20">
        <f>C28+D27</f>
        <v>456212</v>
      </c>
      <c r="E28" s="20">
        <f t="shared" ref="E28:R28" si="23">D28+E27</f>
        <v>505179</v>
      </c>
      <c r="F28" s="20">
        <f t="shared" si="23"/>
        <v>554146</v>
      </c>
      <c r="G28" s="20">
        <f t="shared" si="23"/>
        <v>603113</v>
      </c>
      <c r="H28" s="20">
        <f t="shared" si="23"/>
        <v>652080</v>
      </c>
      <c r="I28" s="20">
        <f t="shared" si="23"/>
        <v>701047</v>
      </c>
      <c r="J28" s="20">
        <f t="shared" si="23"/>
        <v>750014</v>
      </c>
      <c r="K28" s="20">
        <f t="shared" si="23"/>
        <v>1021469</v>
      </c>
      <c r="L28" s="20">
        <f t="shared" si="23"/>
        <v>1062924</v>
      </c>
      <c r="M28" s="20">
        <f t="shared" si="23"/>
        <v>1104379</v>
      </c>
      <c r="N28" s="20">
        <f t="shared" si="23"/>
        <v>1143934</v>
      </c>
      <c r="O28" s="20">
        <f t="shared" si="23"/>
        <v>1441929</v>
      </c>
      <c r="P28" s="20">
        <f t="shared" si="23"/>
        <v>1479924</v>
      </c>
      <c r="Q28" s="20">
        <f t="shared" si="23"/>
        <v>1517919</v>
      </c>
      <c r="R28" s="20">
        <f t="shared" si="23"/>
        <v>1555914</v>
      </c>
      <c r="S28" s="20">
        <f t="shared" ref="S28" si="24">R28+S27</f>
        <v>1593909</v>
      </c>
      <c r="T28" s="20">
        <f t="shared" ref="T28" si="25">S28+T27</f>
        <v>1631904</v>
      </c>
      <c r="U28" s="20">
        <f t="shared" ref="U28" si="26">T28+U27</f>
        <v>1669899</v>
      </c>
      <c r="V28" s="20">
        <f t="shared" ref="V28" si="27">U28+V27</f>
        <v>1707894</v>
      </c>
      <c r="W28" s="20">
        <f t="shared" ref="W28" si="28">V28+W27</f>
        <v>1745889</v>
      </c>
      <c r="X28" s="20">
        <f t="shared" ref="X28" si="29">W28+X27</f>
        <v>1783884</v>
      </c>
      <c r="Y28" s="20">
        <f t="shared" ref="Y28" si="30">X28+Y27</f>
        <v>1821879</v>
      </c>
      <c r="Z28" s="20">
        <f t="shared" ref="Z28" si="31">Y28+Z27</f>
        <v>1859874</v>
      </c>
    </row>
    <row r="29" spans="1:26">
      <c r="A29" s="14" t="s">
        <v>26</v>
      </c>
      <c r="B29" s="14"/>
      <c r="C29" s="20">
        <f>-C18+C19</f>
        <v>79800</v>
      </c>
      <c r="D29" s="20">
        <f t="shared" ref="D29:Z29" si="32">-D18+D19</f>
        <v>-4655</v>
      </c>
      <c r="E29" s="20">
        <f t="shared" si="32"/>
        <v>-4655</v>
      </c>
      <c r="F29" s="20">
        <f t="shared" si="32"/>
        <v>-4655</v>
      </c>
      <c r="G29" s="20">
        <f t="shared" si="32"/>
        <v>-4655</v>
      </c>
      <c r="H29" s="20">
        <f t="shared" si="32"/>
        <v>-4655</v>
      </c>
      <c r="I29" s="20">
        <f t="shared" si="32"/>
        <v>-4655</v>
      </c>
      <c r="J29" s="20">
        <f t="shared" si="32"/>
        <v>-4655</v>
      </c>
      <c r="K29" s="20">
        <f t="shared" si="32"/>
        <v>-4655</v>
      </c>
      <c r="L29" s="20">
        <f t="shared" si="32"/>
        <v>-4655</v>
      </c>
      <c r="M29" s="20">
        <f t="shared" si="32"/>
        <v>-4655</v>
      </c>
      <c r="N29" s="20">
        <f t="shared" si="32"/>
        <v>-6555</v>
      </c>
      <c r="O29" s="20">
        <f t="shared" si="32"/>
        <v>-6555</v>
      </c>
      <c r="P29" s="20">
        <f t="shared" si="32"/>
        <v>-6555</v>
      </c>
      <c r="Q29" s="20">
        <f t="shared" si="32"/>
        <v>-6555</v>
      </c>
      <c r="R29" s="20">
        <f t="shared" si="32"/>
        <v>-6555</v>
      </c>
      <c r="S29" s="20">
        <f t="shared" si="32"/>
        <v>-6555</v>
      </c>
      <c r="T29" s="20">
        <f t="shared" si="32"/>
        <v>-6555</v>
      </c>
      <c r="U29" s="20">
        <f t="shared" si="32"/>
        <v>-6555</v>
      </c>
      <c r="V29" s="20">
        <f t="shared" si="32"/>
        <v>-6555</v>
      </c>
      <c r="W29" s="20">
        <f t="shared" si="32"/>
        <v>-6555</v>
      </c>
      <c r="X29" s="20">
        <f t="shared" si="32"/>
        <v>-6555</v>
      </c>
      <c r="Y29" s="20">
        <f t="shared" si="32"/>
        <v>-6555</v>
      </c>
      <c r="Z29" s="20">
        <f t="shared" si="32"/>
        <v>-6555</v>
      </c>
    </row>
    <row r="30" spans="1:26">
      <c r="A30" s="14"/>
      <c r="B30" s="14"/>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8.75">
      <c r="A31" s="21" t="s">
        <v>27</v>
      </c>
      <c r="C31" s="14"/>
      <c r="D31" s="14"/>
      <c r="E31" s="14"/>
      <c r="F31" s="14"/>
      <c r="G31" s="14"/>
      <c r="H31" s="14"/>
      <c r="I31" s="14">
        <v>-1</v>
      </c>
      <c r="J31" s="14"/>
      <c r="K31" s="14"/>
      <c r="L31" s="14"/>
      <c r="M31" s="14"/>
      <c r="N31" s="14"/>
      <c r="O31" s="14"/>
      <c r="P31" s="14"/>
      <c r="Q31" s="14"/>
      <c r="R31" s="14"/>
      <c r="S31" s="14"/>
      <c r="T31" s="14"/>
      <c r="U31" s="14"/>
      <c r="V31" s="14"/>
      <c r="W31" s="14"/>
      <c r="X31" s="14"/>
      <c r="Y31" s="14"/>
      <c r="Z31" s="14"/>
    </row>
    <row r="32" spans="1:26">
      <c r="A32" s="14" t="s">
        <v>28</v>
      </c>
      <c r="B32" s="58">
        <f>'Erklärung - Situation'!C18</f>
        <v>5</v>
      </c>
      <c r="C32" s="14"/>
      <c r="D32" s="14"/>
      <c r="E32" s="14"/>
      <c r="F32" s="14"/>
      <c r="G32" s="14"/>
      <c r="H32" s="14"/>
      <c r="I32" s="14"/>
      <c r="J32" s="14"/>
      <c r="K32" s="14"/>
      <c r="L32" s="14"/>
      <c r="M32" s="14"/>
      <c r="N32" s="14"/>
      <c r="O32" s="14"/>
      <c r="P32" s="14"/>
      <c r="Q32" s="14"/>
      <c r="R32" s="14"/>
      <c r="S32" s="22"/>
      <c r="T32" s="14"/>
      <c r="U32" s="14"/>
      <c r="V32" s="14"/>
      <c r="W32" s="14"/>
      <c r="X32" s="14"/>
      <c r="Y32" s="14"/>
      <c r="Z32" s="14"/>
    </row>
    <row r="33" spans="1:26" ht="15.75">
      <c r="A33" s="23" t="s">
        <v>29</v>
      </c>
      <c r="B33" s="58">
        <f>'Erklärung - Situation'!F5</f>
        <v>2024</v>
      </c>
      <c r="C33" s="14"/>
      <c r="D33" s="23" t="s">
        <v>39</v>
      </c>
      <c r="E33" s="14"/>
      <c r="F33" s="14"/>
      <c r="G33" s="58">
        <f>'Erklärung - Situation'!I5</f>
        <v>2032</v>
      </c>
      <c r="H33" s="14"/>
      <c r="I33" s="14"/>
      <c r="J33" s="14"/>
      <c r="K33" s="14"/>
      <c r="L33" s="14"/>
      <c r="M33" s="14"/>
      <c r="N33" s="14"/>
      <c r="O33" s="14"/>
      <c r="P33" s="14"/>
      <c r="Q33" s="14"/>
      <c r="R33" s="14"/>
      <c r="S33" s="14"/>
      <c r="T33" s="14"/>
      <c r="U33" s="14"/>
      <c r="V33" s="14"/>
      <c r="W33" s="14"/>
      <c r="X33" s="14"/>
      <c r="Y33" s="14"/>
      <c r="Z33" s="14"/>
    </row>
    <row r="34" spans="1:26">
      <c r="A34" s="24" t="s">
        <v>31</v>
      </c>
      <c r="B34" s="59">
        <f>'Erklärung - Situation'!F6</f>
        <v>4000</v>
      </c>
      <c r="C34" s="14"/>
      <c r="D34" s="14" t="s">
        <v>40</v>
      </c>
      <c r="E34" s="14"/>
      <c r="F34" s="14"/>
      <c r="G34" s="59">
        <f>'Erklärung - Situation'!I6</f>
        <v>230000</v>
      </c>
      <c r="H34" s="14"/>
      <c r="I34" s="14"/>
      <c r="J34" s="14"/>
      <c r="K34" s="14"/>
      <c r="L34" s="14"/>
      <c r="M34" s="14"/>
      <c r="N34" s="14"/>
      <c r="O34" s="14"/>
      <c r="P34" s="14"/>
      <c r="Q34" s="14"/>
      <c r="R34" s="14"/>
      <c r="S34" s="14"/>
      <c r="T34" s="14"/>
      <c r="U34" s="14"/>
      <c r="V34" s="14"/>
      <c r="W34" s="14"/>
      <c r="X34" s="14"/>
      <c r="Y34" s="14"/>
      <c r="Z34" s="14"/>
    </row>
    <row r="35" spans="1:26">
      <c r="A35" s="24" t="s">
        <v>30</v>
      </c>
      <c r="B35" s="59">
        <f>'Erklärung - Situation'!F7</f>
        <v>3500</v>
      </c>
      <c r="C35" s="14"/>
      <c r="D35" s="14" t="s">
        <v>43</v>
      </c>
      <c r="E35" s="14"/>
      <c r="F35" s="14"/>
      <c r="G35" s="59">
        <f>'Erklärung - Situation'!I7</f>
        <v>0</v>
      </c>
      <c r="H35" s="14"/>
      <c r="I35" s="14"/>
      <c r="J35" s="14"/>
      <c r="K35" s="14"/>
      <c r="L35" s="14"/>
      <c r="M35" s="14"/>
      <c r="N35" s="14"/>
      <c r="O35" s="14"/>
      <c r="P35" s="14"/>
      <c r="Q35" s="14"/>
      <c r="R35" s="14"/>
      <c r="S35" s="14"/>
      <c r="T35" s="14"/>
      <c r="U35" s="14"/>
      <c r="V35" s="14"/>
      <c r="W35" s="14"/>
      <c r="X35" s="14"/>
      <c r="Y35" s="14"/>
      <c r="Z35" s="14"/>
    </row>
    <row r="36" spans="1:26">
      <c r="A36" s="24" t="s">
        <v>32</v>
      </c>
      <c r="B36" s="59">
        <f>'Erklärung - Situation'!F8</f>
        <v>400000</v>
      </c>
      <c r="C36" s="14"/>
      <c r="D36" s="14" t="s">
        <v>44</v>
      </c>
      <c r="E36" s="14"/>
      <c r="F36" s="14"/>
      <c r="G36" s="59">
        <f>'Erklärung - Situation'!I8</f>
        <v>0</v>
      </c>
      <c r="H36" s="14"/>
      <c r="I36" s="14"/>
      <c r="J36" s="14"/>
      <c r="K36" s="14"/>
      <c r="L36" s="14"/>
      <c r="M36" s="14"/>
      <c r="N36" s="14"/>
      <c r="O36" s="14"/>
      <c r="P36" s="14"/>
      <c r="Q36" s="14"/>
      <c r="R36" s="14"/>
      <c r="S36" s="14"/>
      <c r="T36" s="14"/>
      <c r="U36" s="14"/>
      <c r="V36" s="14"/>
      <c r="W36" s="14"/>
      <c r="X36" s="14"/>
      <c r="Y36" s="14"/>
      <c r="Z36" s="14"/>
    </row>
    <row r="37" spans="1:26" ht="15.75">
      <c r="A37" s="24" t="s">
        <v>33</v>
      </c>
      <c r="B37" s="60">
        <f>'Erklärung - Situation'!F9</f>
        <v>0.38</v>
      </c>
      <c r="C37" s="14"/>
      <c r="D37" s="23" t="s">
        <v>1</v>
      </c>
      <c r="E37" s="14"/>
      <c r="F37" s="14"/>
      <c r="G37" s="58">
        <f>'Erklärung - Situation'!I9</f>
        <v>2036</v>
      </c>
      <c r="H37" s="14"/>
      <c r="I37" s="14"/>
      <c r="J37" s="14"/>
      <c r="K37" s="14"/>
      <c r="L37" s="14"/>
      <c r="M37" s="14"/>
      <c r="N37" s="14"/>
      <c r="O37" s="14"/>
      <c r="P37" s="14"/>
      <c r="Q37" s="14"/>
      <c r="R37" s="14"/>
      <c r="S37" s="14"/>
      <c r="T37" s="14"/>
      <c r="U37" s="14"/>
      <c r="V37" s="14"/>
      <c r="W37" s="14"/>
      <c r="X37" s="14"/>
      <c r="Y37" s="14"/>
      <c r="Z37" s="14"/>
    </row>
    <row r="38" spans="1:26" ht="15.75">
      <c r="A38" s="23" t="s">
        <v>34</v>
      </c>
      <c r="B38" s="58">
        <f>'Erklärung - Situation'!F10</f>
        <v>2024</v>
      </c>
      <c r="C38" s="14"/>
      <c r="D38" s="14" t="s">
        <v>40</v>
      </c>
      <c r="E38" s="14"/>
      <c r="F38" s="14"/>
      <c r="G38" s="59">
        <f>'Erklärung - Situation'!I10</f>
        <v>260000</v>
      </c>
      <c r="H38" s="14"/>
      <c r="I38" s="14"/>
      <c r="J38" s="14"/>
      <c r="K38" s="14"/>
      <c r="L38" s="14"/>
      <c r="M38" s="14"/>
      <c r="N38" s="14"/>
      <c r="O38" s="14"/>
      <c r="P38" s="14"/>
      <c r="Q38" s="14"/>
      <c r="R38" s="14"/>
      <c r="S38" s="14"/>
      <c r="T38" s="14"/>
      <c r="U38" s="14"/>
      <c r="V38" s="14"/>
      <c r="W38" s="14"/>
      <c r="X38" s="14"/>
      <c r="Y38" s="14"/>
      <c r="Z38" s="14"/>
    </row>
    <row r="39" spans="1:26">
      <c r="A39" s="24" t="s">
        <v>35</v>
      </c>
      <c r="B39" s="59">
        <f>'Erklärung - Situation'!F11</f>
        <v>-80000</v>
      </c>
      <c r="C39" s="14"/>
      <c r="D39" s="14" t="s">
        <v>41</v>
      </c>
      <c r="E39" s="14"/>
      <c r="F39" s="14"/>
      <c r="G39" s="59">
        <f>'Erklärung - Situation'!I11</f>
        <v>0</v>
      </c>
      <c r="H39" s="14"/>
      <c r="I39" s="14"/>
      <c r="J39" s="14"/>
      <c r="K39" s="14"/>
      <c r="L39" s="14"/>
      <c r="M39" s="14"/>
      <c r="N39" s="14"/>
      <c r="O39" s="14"/>
      <c r="P39" s="14"/>
      <c r="Q39" s="14"/>
      <c r="R39" s="14"/>
      <c r="S39" s="14"/>
      <c r="T39" s="14"/>
      <c r="U39" s="14"/>
      <c r="V39" s="14"/>
      <c r="W39" s="14"/>
      <c r="X39" s="14"/>
      <c r="Y39" s="14"/>
      <c r="Z39" s="14"/>
    </row>
    <row r="40" spans="1:26">
      <c r="A40" s="24" t="s">
        <v>36</v>
      </c>
      <c r="B40" s="59">
        <f>'Erklärung - Situation'!F12</f>
        <v>1500</v>
      </c>
      <c r="C40" s="14"/>
      <c r="D40" s="14" t="s">
        <v>42</v>
      </c>
      <c r="E40" s="14"/>
      <c r="F40" s="14"/>
      <c r="G40" s="59">
        <f>'Erklärung - Situation'!I12</f>
        <v>0</v>
      </c>
      <c r="H40" s="14"/>
      <c r="I40" s="14"/>
      <c r="J40" s="14"/>
      <c r="K40" s="14"/>
      <c r="L40" s="14"/>
      <c r="M40" s="14"/>
      <c r="N40" s="14"/>
      <c r="O40" s="14"/>
      <c r="P40" s="14"/>
      <c r="Q40" s="14"/>
      <c r="R40" s="14"/>
      <c r="S40" s="14"/>
      <c r="T40" s="14"/>
      <c r="U40" s="14"/>
      <c r="V40" s="14"/>
      <c r="W40" s="14"/>
      <c r="X40" s="14"/>
      <c r="Y40" s="14"/>
      <c r="Z40" s="14"/>
    </row>
    <row r="41" spans="1:26" ht="15.75">
      <c r="A41" s="23" t="s">
        <v>37</v>
      </c>
      <c r="B41" s="59">
        <f>'Erklärung - Situation'!F13</f>
        <v>-80000</v>
      </c>
      <c r="C41" s="14"/>
      <c r="D41" s="23" t="s">
        <v>45</v>
      </c>
      <c r="E41" s="14"/>
      <c r="F41" s="14"/>
      <c r="G41" s="59">
        <f>'Erklärung - Situation'!I13</f>
        <v>-100000</v>
      </c>
      <c r="H41" s="14"/>
      <c r="I41" s="20"/>
      <c r="J41" s="14"/>
      <c r="K41" s="14"/>
      <c r="L41" s="14"/>
      <c r="M41" s="14"/>
      <c r="N41" s="14"/>
      <c r="O41" s="14"/>
      <c r="P41" s="14"/>
      <c r="Q41" s="14"/>
      <c r="R41" s="14"/>
      <c r="S41" s="14"/>
      <c r="T41" s="14"/>
      <c r="U41" s="14"/>
      <c r="V41" s="14"/>
      <c r="W41" s="14"/>
      <c r="X41" s="14"/>
      <c r="Y41" s="14"/>
      <c r="Z41" s="14"/>
    </row>
    <row r="42" spans="1:26">
      <c r="A42" s="24" t="s">
        <v>38</v>
      </c>
      <c r="B42" s="59">
        <f>'Erklärung - Situation'!F14</f>
        <v>12000</v>
      </c>
      <c r="C42" s="14"/>
      <c r="D42" s="24" t="s">
        <v>46</v>
      </c>
      <c r="E42" s="14"/>
      <c r="F42" s="14"/>
      <c r="G42" s="59">
        <f>'Erklärung - Situation'!I14</f>
        <v>5250.0000000000009</v>
      </c>
      <c r="H42" s="14"/>
      <c r="I42" s="14"/>
      <c r="J42" s="14"/>
      <c r="K42" s="14"/>
      <c r="L42" s="14"/>
      <c r="M42" s="14"/>
      <c r="N42" s="14"/>
      <c r="O42" s="14"/>
      <c r="P42" s="14"/>
      <c r="Q42" s="14"/>
      <c r="R42" s="14"/>
      <c r="S42" s="14"/>
      <c r="T42" s="14"/>
      <c r="U42" s="14"/>
      <c r="V42" s="14"/>
      <c r="W42" s="14"/>
      <c r="X42" s="14"/>
      <c r="Y42" s="14"/>
      <c r="Z42" s="14"/>
    </row>
    <row r="43" spans="1:26">
      <c r="A43" s="14"/>
      <c r="B43" s="14"/>
      <c r="C43" s="14"/>
      <c r="D43" s="24" t="s">
        <v>47</v>
      </c>
      <c r="E43" s="14"/>
      <c r="F43" s="14"/>
      <c r="G43" s="20">
        <f>'Erklärung - Situation'!I15</f>
        <v>-5000</v>
      </c>
      <c r="H43" s="14"/>
      <c r="I43" s="14"/>
      <c r="J43" s="14"/>
      <c r="K43" s="14"/>
      <c r="L43" s="14"/>
      <c r="M43" s="14"/>
      <c r="N43" s="14"/>
      <c r="O43" s="14"/>
      <c r="P43" s="14"/>
      <c r="Q43" s="14"/>
      <c r="R43" s="14"/>
      <c r="S43" s="14"/>
      <c r="T43" s="14"/>
      <c r="U43" s="14"/>
      <c r="V43" s="14"/>
      <c r="W43" s="14"/>
      <c r="X43" s="14"/>
      <c r="Y43" s="14"/>
      <c r="Z43" s="14"/>
    </row>
    <row r="44" spans="1:26">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c r="A45" t="s">
        <v>64</v>
      </c>
      <c r="D45" s="53" t="s">
        <v>65</v>
      </c>
    </row>
  </sheetData>
  <sheetProtection algorithmName="SHA-512" hashValue="q7ikIHQ4FsX4Te+7qSL+Xxow/Yw+J3i0r+8RMFpfawNykrFXDNL6TCnXIDI3BPb3dP49nUJGOTbJSDBZcQIFjA==" saltValue="kXqTL6d/eyuTkpbw3GHUOw==" spinCount="100000" sheet="1" objects="1" scenarios="1"/>
  <protectedRanges>
    <protectedRange algorithmName="SHA-512" hashValue="myHaNV+Vh11kg76mU3CMulHETZfc6cgejVlrnKJGNRJ511qChggIRFpvgYQQplgP7SRF0axcY3i3XlBTRj+B/g==" saltValue="k7Q6pY1oKhnIaC9gIIz8dw==" spinCount="100000" sqref="G33:G42 B20:B23 B32:B42 B5:B12 B14:B15" name="Eingabefelder"/>
  </protectedRanges>
  <dataValidations count="1">
    <dataValidation type="custom" allowBlank="1" showInputMessage="1" showErrorMessage="1" errorTitle="This year or future year" error="Please enter this year or a future year" promptTitle="Greater than actual year" sqref="B33" xr:uid="{D21A0732-4E53-4535-839E-574A92850782}">
      <formula1>B33&gt;=C1</formula1>
    </dataValidation>
  </dataValidations>
  <hyperlinks>
    <hyperlink ref="B3" r:id="rId1" xr:uid="{8848A3A0-8018-4060-8C52-DC965BBB9087}"/>
    <hyperlink ref="D45" r:id="rId2" xr:uid="{8B0A26B1-CC79-4D86-B301-D7CE7AD0B2CB}"/>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Erklärung - Situation</vt:lpstr>
      <vt:lpstr>Abfindung 2024</vt:lpstr>
      <vt:lpstr>Long Term Projection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Reisacher, Steffen</dc:creator>
  <cp:lastModifiedBy>Firma Reisacher</cp:lastModifiedBy>
  <dcterms:created xsi:type="dcterms:W3CDTF">2017-05-02T10:27:12Z</dcterms:created>
  <dcterms:modified xsi:type="dcterms:W3CDTF">2024-05-03T08:25:07Z</dcterms:modified>
</cp:coreProperties>
</file>